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tabRatio="654" activeTab="6"/>
  </bookViews>
  <sheets>
    <sheet name="Титул" sheetId="21" r:id="rId1"/>
    <sheet name="Осн. фін. пок." sheetId="14" r:id="rId2"/>
    <sheet name="I. Фін результат" sheetId="20" r:id="rId3"/>
    <sheet name="ІІ. Розр. з бюджетом" sheetId="19" r:id="rId4"/>
    <sheet name="ІІІ. Рух грош. коштів" sheetId="18" r:id="rId5"/>
    <sheet name="IV. Кап. інвестиції" sheetId="3" r:id="rId6"/>
    <sheet name=" V. Коефіцієнти" sheetId="11" r:id="rId7"/>
    <sheet name="6.1. Інша інфо_1" sheetId="10" r:id="rId8"/>
    <sheet name="6.2. Інша інфо_2"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_XGRAPH3" hidden="1">[1]GDP!#REF!</definedName>
    <definedName name="aa">'[2]1993'!$A$1:$IV$3,'[2]1993'!$A$1:$A$65536</definedName>
    <definedName name="ad">'[3]МТР Газ України'!$B$1</definedName>
    <definedName name="as">'[4]МТР Газ України'!$B$1</definedName>
    <definedName name="asdf">[5]Inform!$E$6</definedName>
    <definedName name="asdfg">[5]Inform!$F$2</definedName>
    <definedName name="BuiltIn_Print_Area___1___1">#REF!</definedName>
    <definedName name="ClDate">[6]Inform!$E$6</definedName>
    <definedName name="ClDate_21">[7]Inform!$E$6</definedName>
    <definedName name="ClDate_25">[7]Inform!$E$6</definedName>
    <definedName name="ClDate_6">[8]Inform!$E$6</definedName>
    <definedName name="CompName">[6]Inform!$F$2</definedName>
    <definedName name="CompName_21">[7]Inform!$F$2</definedName>
    <definedName name="CompName_25">[7]Inform!$F$2</definedName>
    <definedName name="CompName_6">[8]Inform!$F$2</definedName>
    <definedName name="CompNameE">[6]Inform!$G$2</definedName>
    <definedName name="CompNameE_21">[7]Inform!$G$2</definedName>
    <definedName name="CompNameE_25">[7]Inform!$G$2</definedName>
    <definedName name="CompNameE_6">[8]Inform!$G$2</definedName>
    <definedName name="Cost_Category_National_ID">#REF!</definedName>
    <definedName name="Cе511">#REF!</definedName>
    <definedName name="d">'[9]МТР Газ України'!$B$4</definedName>
    <definedName name="dCPIb">[10]попер_роз!#REF!</definedName>
    <definedName name="dPPIb">[10]попер_роз!#REF!</definedName>
    <definedName name="ds">'[11]7  Інші витрати'!#REF!</definedName>
    <definedName name="Fact_Type_ID">#REF!</definedName>
    <definedName name="G">'[12]МТР Газ України'!$B$1</definedName>
    <definedName name="ij1sssss">'[13]7  Інші витрати'!#REF!</definedName>
    <definedName name="LastItem">[14]Лист1!$A$1</definedName>
    <definedName name="Load">'[15]МТР Газ України'!$B$4</definedName>
    <definedName name="Load_ID">'[16]МТР Газ України'!$B$4</definedName>
    <definedName name="Load_ID_10">'[17]7  Інші витрати'!#REF!</definedName>
    <definedName name="Load_ID_11">'[18]МТР Газ України'!$B$4</definedName>
    <definedName name="Load_ID_12">'[18]МТР Газ України'!$B$4</definedName>
    <definedName name="Load_ID_13">'[18]МТР Газ України'!$B$4</definedName>
    <definedName name="Load_ID_14">'[18]МТР Газ України'!$B$4</definedName>
    <definedName name="Load_ID_15">'[18]МТР Газ України'!$B$4</definedName>
    <definedName name="Load_ID_16">'[18]МТР Газ України'!$B$4</definedName>
    <definedName name="Load_ID_17">'[18]МТР Газ України'!$B$4</definedName>
    <definedName name="Load_ID_18">'[19]МТР Газ України'!$B$4</definedName>
    <definedName name="Load_ID_19">'[20]МТР Газ України'!$B$4</definedName>
    <definedName name="Load_ID_20">'[19]МТР Газ України'!$B$4</definedName>
    <definedName name="Load_ID_200">'[15]МТР Газ України'!$B$4</definedName>
    <definedName name="Load_ID_21">'[21]МТР Газ України'!$B$4</definedName>
    <definedName name="Load_ID_23">'[20]МТР Газ України'!$B$4</definedName>
    <definedName name="Load_ID_25">'[21]МТР Газ України'!$B$4</definedName>
    <definedName name="Load_ID_542">'[22]МТР Газ України'!$B$4</definedName>
    <definedName name="Load_ID_6">'[18]МТР Газ України'!$B$4</definedName>
    <definedName name="OpDate">[6]Inform!$E$5</definedName>
    <definedName name="OpDate_21">[7]Inform!$E$5</definedName>
    <definedName name="OpDate_25">[7]Inform!$E$5</definedName>
    <definedName name="OpDate_6">[8]Inform!$E$5</definedName>
    <definedName name="QR">[23]Inform!$E$5</definedName>
    <definedName name="qw">[5]Inform!$E$5</definedName>
    <definedName name="qwert">[5]Inform!$G$2</definedName>
    <definedName name="qwerty">'[4]МТР Газ України'!$B$4</definedName>
    <definedName name="ShowFil">[14]!ShowFil</definedName>
    <definedName name="SU_ID">#REF!</definedName>
    <definedName name="Time_ID">'[16]МТР Газ України'!$B$1</definedName>
    <definedName name="Time_ID_10">'[17]7  Інші витрати'!#REF!</definedName>
    <definedName name="Time_ID_11">'[18]МТР Газ України'!$B$1</definedName>
    <definedName name="Time_ID_12">'[18]МТР Газ України'!$B$1</definedName>
    <definedName name="Time_ID_13">'[18]МТР Газ України'!$B$1</definedName>
    <definedName name="Time_ID_14">'[18]МТР Газ України'!$B$1</definedName>
    <definedName name="Time_ID_15">'[18]МТР Газ України'!$B$1</definedName>
    <definedName name="Time_ID_16">'[18]МТР Газ України'!$B$1</definedName>
    <definedName name="Time_ID_17">'[18]МТР Газ України'!$B$1</definedName>
    <definedName name="Time_ID_18">'[19]МТР Газ України'!$B$1</definedName>
    <definedName name="Time_ID_19">'[20]МТР Газ України'!$B$1</definedName>
    <definedName name="Time_ID_20">'[19]МТР Газ України'!$B$1</definedName>
    <definedName name="Time_ID_21">'[21]МТР Газ України'!$B$1</definedName>
    <definedName name="Time_ID_23">'[20]МТР Газ України'!$B$1</definedName>
    <definedName name="Time_ID_25">'[21]МТР Газ України'!$B$1</definedName>
    <definedName name="Time_ID_6">'[18]МТР Газ України'!$B$1</definedName>
    <definedName name="Time_ID0">'[16]МТР Газ України'!$F$1</definedName>
    <definedName name="Time_ID0_10">'[17]7  Інші витрати'!#REF!</definedName>
    <definedName name="Time_ID0_11">'[18]МТР Газ України'!$F$1</definedName>
    <definedName name="Time_ID0_12">'[18]МТР Газ України'!$F$1</definedName>
    <definedName name="Time_ID0_13">'[18]МТР Газ України'!$F$1</definedName>
    <definedName name="Time_ID0_14">'[18]МТР Газ України'!$F$1</definedName>
    <definedName name="Time_ID0_15">'[18]МТР Газ України'!$F$1</definedName>
    <definedName name="Time_ID0_16">'[18]МТР Газ України'!$F$1</definedName>
    <definedName name="Time_ID0_17">'[18]МТР Газ України'!$F$1</definedName>
    <definedName name="Time_ID0_18">'[19]МТР Газ України'!$F$1</definedName>
    <definedName name="Time_ID0_19">'[20]МТР Газ України'!$F$1</definedName>
    <definedName name="Time_ID0_20">'[19]МТР Газ України'!$F$1</definedName>
    <definedName name="Time_ID0_21">'[21]МТР Газ України'!$F$1</definedName>
    <definedName name="Time_ID0_23">'[20]МТР Газ України'!$F$1</definedName>
    <definedName name="Time_ID0_25">'[21]МТР Газ України'!$F$1</definedName>
    <definedName name="Time_ID0_6">'[18]МТР Газ України'!$F$1</definedName>
    <definedName name="ttttttt">#REF!</definedName>
    <definedName name="Unit">[6]Inform!$E$38</definedName>
    <definedName name="Unit_21">[7]Inform!$E$38</definedName>
    <definedName name="Unit_25">[7]Inform!$E$38</definedName>
    <definedName name="Unit_6">[8]Inform!$E$38</definedName>
    <definedName name="WQER">'[24]МТР Газ України'!$B$4</definedName>
    <definedName name="wr">'[24]МТР Газ України'!$B$4</definedName>
    <definedName name="yyyy">#REF!</definedName>
    <definedName name="zx">'[4]МТР Газ України'!$F$1</definedName>
    <definedName name="zxc">[5]Inform!$E$38</definedName>
    <definedName name="а">'[13]7  Інші витрати'!#REF!</definedName>
    <definedName name="ав">#REF!</definedName>
    <definedName name="аен">'[24]МТР Газ України'!$B$4</definedName>
    <definedName name="_xlnm.Database">'[25]Ener '!$A$1:$G$2645</definedName>
    <definedName name="в">'[26]МТР Газ України'!$F$1</definedName>
    <definedName name="ватт">'[27]БАЗА  '!#REF!</definedName>
    <definedName name="Д">'[15]МТР Газ України'!$B$4</definedName>
    <definedName name="е">#REF!</definedName>
    <definedName name="є">#REF!</definedName>
    <definedName name="_xlnm.Print_Titles" localSheetId="6">' V. Коефіцієнти'!$5:$5</definedName>
    <definedName name="_xlnm.Print_Titles" localSheetId="2">'I. Фін результат'!$3:$5</definedName>
    <definedName name="_xlnm.Print_Titles" localSheetId="3">'ІІ. Розр. з бюджетом'!$3:$5</definedName>
    <definedName name="_xlnm.Print_Titles" localSheetId="4">'ІІІ. Рух грош. коштів'!$3:$5</definedName>
    <definedName name="_xlnm.Print_Titles" localSheetId="1">'Осн. фін. пок.'!$49:$51</definedName>
    <definedName name="Заголовки_для_печати_МИ">'[28]1993'!$A$1:$IV$3,'[28]1993'!$A$1:$A$65536</definedName>
    <definedName name="і">[29]Inform!$F$2</definedName>
    <definedName name="ів">#REF!</definedName>
    <definedName name="ів___0">#REF!</definedName>
    <definedName name="ів_22">#REF!</definedName>
    <definedName name="ів_26">#REF!</definedName>
    <definedName name="іваіа">'[30]7  Інші витрати'!#REF!</definedName>
    <definedName name="іваф">#REF!</definedName>
    <definedName name="івів">'[12]МТР Газ України'!$B$1</definedName>
    <definedName name="іцу">[23]Inform!$G$2</definedName>
    <definedName name="йуц">#REF!</definedName>
    <definedName name="йцу">#REF!</definedName>
    <definedName name="йцуйй">#REF!</definedName>
    <definedName name="йцукц">'[30]7  Інші витрати'!#REF!</definedName>
    <definedName name="КЕ">#REF!</definedName>
    <definedName name="КЕ___0">#REF!</definedName>
    <definedName name="КЕ_22">#REF!</definedName>
    <definedName name="КЕ_26">#REF!</definedName>
    <definedName name="кен">#REF!</definedName>
    <definedName name="л">#REF!</definedName>
    <definedName name="_xlnm.Print_Area" localSheetId="6">' V. Коефіцієнти'!$A$1:$J$27</definedName>
    <definedName name="_xlnm.Print_Area" localSheetId="7">'6.1. Інша інфо_1'!$A$1:$O$81</definedName>
    <definedName name="_xlnm.Print_Area" localSheetId="8">'6.2. Інша інфо_2'!$A$1:$AE$97</definedName>
    <definedName name="_xlnm.Print_Area" localSheetId="2">'I. Фін результат'!$A$1:$K$156</definedName>
    <definedName name="_xlnm.Print_Area" localSheetId="5">'IV. Кап. інвестиції'!$A$1:$J$17</definedName>
    <definedName name="_xlnm.Print_Area" localSheetId="3">'ІІ. Розр. з бюджетом'!$A$1:$J$56</definedName>
    <definedName name="_xlnm.Print_Area" localSheetId="4">'ІІІ. Рух грош. коштів'!$A$1:$J$170</definedName>
    <definedName name="_xlnm.Print_Area" localSheetId="1">'Осн. фін. пок.'!$A$1:$J$145</definedName>
    <definedName name="п">'[13]7  Інші витрати'!#REF!</definedName>
    <definedName name="пдв">'[15]МТР Газ України'!$B$4</definedName>
    <definedName name="пдв_утг">'[15]МТР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[31]Inform!$E$6</definedName>
    <definedName name="р">#REF!</definedName>
    <definedName name="т">[32]Inform!$E$6</definedName>
    <definedName name="тариф">[33]Inform!$G$2</definedName>
    <definedName name="уйцукйцуйу">#REF!</definedName>
    <definedName name="уке">[34]Inform!$G$2</definedName>
    <definedName name="УТГ">'[15]МТР Газ України'!$B$4</definedName>
    <definedName name="фів">'[24]МТР Газ України'!$B$4</definedName>
    <definedName name="фіваіф">'[30]7  Інші витрати'!#REF!</definedName>
    <definedName name="фф">'[26]МТР Газ України'!$F$1</definedName>
    <definedName name="ц">'[13]7  Інші витрати'!#REF!</definedName>
    <definedName name="ччч">'[35]БАЗА  '!#REF!</definedName>
    <definedName name="ш">#REF!</definedName>
  </definedNames>
  <calcPr calcId="1456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4" i="10" l="1"/>
  <c r="AB44" i="9" l="1"/>
  <c r="AC44" i="9"/>
  <c r="AD44" i="9"/>
  <c r="AE44" i="9"/>
  <c r="X52" i="9"/>
  <c r="Y52" i="9"/>
  <c r="Z52" i="9"/>
  <c r="W52" i="9"/>
  <c r="V78" i="9" l="1"/>
  <c r="H25" i="11"/>
  <c r="H16" i="3"/>
  <c r="H168" i="18"/>
  <c r="H54" i="19"/>
  <c r="H155" i="20"/>
  <c r="B78" i="9"/>
  <c r="A25" i="11"/>
  <c r="A16" i="3"/>
  <c r="A168" i="18"/>
  <c r="A54" i="19"/>
  <c r="A155" i="20"/>
  <c r="H33" i="10" l="1"/>
  <c r="J35" i="10" l="1"/>
  <c r="J34" i="10"/>
  <c r="J33" i="10"/>
  <c r="S71" i="9" l="1"/>
  <c r="E73" i="9"/>
  <c r="E72" i="9"/>
  <c r="E71" i="9"/>
  <c r="F107" i="18" l="1"/>
  <c r="F108" i="18"/>
  <c r="F109" i="18"/>
  <c r="F137" i="18" l="1"/>
  <c r="I21" i="18" l="1"/>
  <c r="V31" i="9" l="1"/>
  <c r="V32" i="9"/>
  <c r="V33" i="9"/>
  <c r="AB31" i="9"/>
  <c r="AC31" i="9"/>
  <c r="AD31" i="9"/>
  <c r="AE31" i="9"/>
  <c r="AB32" i="9"/>
  <c r="AC32" i="9"/>
  <c r="AD32" i="9"/>
  <c r="AE32" i="9"/>
  <c r="AA32" i="9" l="1"/>
  <c r="AA31" i="9"/>
  <c r="F115" i="14" l="1"/>
  <c r="E74" i="9" l="1"/>
  <c r="K74" i="9"/>
  <c r="O74" i="9"/>
  <c r="Q74" i="9"/>
  <c r="V55" i="9"/>
  <c r="AB55" i="9"/>
  <c r="AC55" i="9"/>
  <c r="AD55" i="9"/>
  <c r="AE55" i="9"/>
  <c r="AE59" i="9"/>
  <c r="AD59" i="9"/>
  <c r="AD57" i="9" s="1"/>
  <c r="AC59" i="9"/>
  <c r="AB59" i="9"/>
  <c r="V59" i="9"/>
  <c r="AE56" i="9"/>
  <c r="AD56" i="9"/>
  <c r="AC56" i="9"/>
  <c r="AB56" i="9"/>
  <c r="V56" i="9"/>
  <c r="AE58" i="9"/>
  <c r="AD58" i="9"/>
  <c r="AC58" i="9"/>
  <c r="AB58" i="9"/>
  <c r="AB57" i="9" s="1"/>
  <c r="V58" i="9"/>
  <c r="Q58" i="9"/>
  <c r="Z57" i="9"/>
  <c r="J12" i="3" s="1"/>
  <c r="Y57" i="9"/>
  <c r="I12" i="3" s="1"/>
  <c r="X57" i="9"/>
  <c r="H12" i="3" s="1"/>
  <c r="W57" i="9"/>
  <c r="G12" i="3" s="1"/>
  <c r="U57" i="9"/>
  <c r="T57" i="9"/>
  <c r="S57" i="9"/>
  <c r="R57" i="9"/>
  <c r="Q57" i="9" l="1"/>
  <c r="AA56" i="9"/>
  <c r="AA59" i="9"/>
  <c r="AE57" i="9"/>
  <c r="AA58" i="9"/>
  <c r="AC57" i="9"/>
  <c r="AA55" i="9"/>
  <c r="V57" i="9"/>
  <c r="N54" i="10"/>
  <c r="M53" i="10"/>
  <c r="AA57" i="9" l="1"/>
  <c r="H23" i="10"/>
  <c r="H17" i="10"/>
  <c r="F8" i="19"/>
  <c r="E84" i="20"/>
  <c r="F162" i="18" l="1"/>
  <c r="F131" i="18" l="1"/>
  <c r="F132" i="18"/>
  <c r="F133" i="18"/>
  <c r="M71" i="9" l="1"/>
  <c r="F115" i="18"/>
  <c r="S72" i="9" s="1"/>
  <c r="M72" i="9" s="1"/>
  <c r="M73" i="9"/>
  <c r="F116" i="18"/>
  <c r="I71" i="18" l="1"/>
  <c r="G70" i="18"/>
  <c r="E70" i="18"/>
  <c r="E63" i="18" s="1"/>
  <c r="F25" i="18"/>
  <c r="F72" i="18"/>
  <c r="F65" i="18"/>
  <c r="F66" i="18"/>
  <c r="F64" i="18"/>
  <c r="I70" i="18" l="1"/>
  <c r="I63" i="18" s="1"/>
  <c r="C48" i="18"/>
  <c r="F103" i="20" l="1"/>
  <c r="J84" i="20"/>
  <c r="H84" i="20"/>
  <c r="H10" i="18" l="1"/>
  <c r="H9" i="18" s="1"/>
  <c r="I10" i="18"/>
  <c r="I9" i="18" s="1"/>
  <c r="J10" i="18"/>
  <c r="J9" i="18" s="1"/>
  <c r="F120" i="18" l="1"/>
  <c r="F106" i="18"/>
  <c r="AB33" i="9" l="1"/>
  <c r="AC33" i="9"/>
  <c r="AD33" i="9"/>
  <c r="AE33" i="9"/>
  <c r="G27" i="18"/>
  <c r="AA33" i="9" l="1"/>
  <c r="H101" i="18"/>
  <c r="I101" i="18"/>
  <c r="J101" i="18"/>
  <c r="G101" i="18"/>
  <c r="I74" i="9"/>
  <c r="X29" i="9"/>
  <c r="Y29" i="9"/>
  <c r="Z29" i="9"/>
  <c r="W29" i="9"/>
  <c r="F101" i="18" l="1"/>
  <c r="V29" i="9"/>
  <c r="E135" i="14" l="1"/>
  <c r="J23" i="10"/>
  <c r="F81" i="18" l="1"/>
  <c r="V36" i="9" l="1"/>
  <c r="AB36" i="9"/>
  <c r="AC36" i="9"/>
  <c r="AD36" i="9"/>
  <c r="AE36" i="9"/>
  <c r="AA36" i="9" l="1"/>
  <c r="H8" i="18" l="1"/>
  <c r="I8" i="18"/>
  <c r="J8" i="18"/>
  <c r="G8" i="18"/>
  <c r="I111" i="20" l="1"/>
  <c r="F116" i="20"/>
  <c r="G41" i="19" l="1"/>
  <c r="F24" i="18" l="1"/>
  <c r="V54" i="9" l="1"/>
  <c r="AB54" i="9"/>
  <c r="AC54" i="9"/>
  <c r="AD54" i="9"/>
  <c r="AE54" i="9"/>
  <c r="U43" i="9"/>
  <c r="T43" i="9"/>
  <c r="S43" i="9"/>
  <c r="R43" i="9"/>
  <c r="V41" i="9"/>
  <c r="AB41" i="9"/>
  <c r="AC41" i="9"/>
  <c r="AD41" i="9"/>
  <c r="AE41" i="9"/>
  <c r="Q43" i="9" l="1"/>
  <c r="AA54" i="9"/>
  <c r="AA41" i="9"/>
  <c r="G150" i="18" l="1"/>
  <c r="H150" i="18"/>
  <c r="I150" i="18"/>
  <c r="J150" i="18"/>
  <c r="F159" i="18"/>
  <c r="F150" i="18" s="1"/>
  <c r="F96" i="14" s="1"/>
  <c r="I27" i="18"/>
  <c r="F82" i="18" l="1"/>
  <c r="V37" i="9" l="1"/>
  <c r="AB37" i="9"/>
  <c r="AC37" i="9"/>
  <c r="AD37" i="9"/>
  <c r="AE37" i="9"/>
  <c r="AA37" i="9" l="1"/>
  <c r="E114" i="14" l="1"/>
  <c r="V30" i="9"/>
  <c r="AB30" i="9"/>
  <c r="AB29" i="9" s="1"/>
  <c r="AC30" i="9"/>
  <c r="AC29" i="9" s="1"/>
  <c r="AD30" i="9"/>
  <c r="AD29" i="9" s="1"/>
  <c r="AE30" i="9"/>
  <c r="AE29" i="9" s="1"/>
  <c r="R29" i="9"/>
  <c r="S29" i="9"/>
  <c r="T29" i="9"/>
  <c r="U29" i="9"/>
  <c r="J32" i="10"/>
  <c r="AA30" i="9" l="1"/>
  <c r="Q29" i="9"/>
  <c r="G26" i="19" l="1"/>
  <c r="W43" i="9" l="1"/>
  <c r="G9" i="3" s="1"/>
  <c r="AA44" i="9"/>
  <c r="V44" i="9"/>
  <c r="E26" i="19" l="1"/>
  <c r="J111" i="20"/>
  <c r="H111" i="20"/>
  <c r="G111" i="20"/>
  <c r="F115" i="20"/>
  <c r="F87" i="18" l="1"/>
  <c r="F135" i="18" l="1"/>
  <c r="F136" i="18"/>
  <c r="F138" i="18"/>
  <c r="H125" i="18"/>
  <c r="I125" i="18"/>
  <c r="J125" i="18"/>
  <c r="G125" i="18"/>
  <c r="V50" i="9"/>
  <c r="AB50" i="9"/>
  <c r="AC50" i="9"/>
  <c r="AD50" i="9"/>
  <c r="AE50" i="9"/>
  <c r="V45" i="9"/>
  <c r="V46" i="9"/>
  <c r="V47" i="9"/>
  <c r="AB45" i="9"/>
  <c r="AC45" i="9"/>
  <c r="AD45" i="9"/>
  <c r="AE45" i="9"/>
  <c r="AB46" i="9"/>
  <c r="AC46" i="9"/>
  <c r="AD46" i="9"/>
  <c r="AE46" i="9"/>
  <c r="AB47" i="9"/>
  <c r="AC47" i="9"/>
  <c r="AD47" i="9"/>
  <c r="AE47" i="9"/>
  <c r="X43" i="9"/>
  <c r="H9" i="3" s="1"/>
  <c r="Y43" i="9"/>
  <c r="I9" i="3" s="1"/>
  <c r="Z43" i="9"/>
  <c r="J9" i="3" s="1"/>
  <c r="V38" i="9"/>
  <c r="V39" i="9"/>
  <c r="V40" i="9"/>
  <c r="AB38" i="9"/>
  <c r="AC38" i="9"/>
  <c r="AD38" i="9"/>
  <c r="AE38" i="9"/>
  <c r="AB39" i="9"/>
  <c r="AC39" i="9"/>
  <c r="AD39" i="9"/>
  <c r="AE39" i="9"/>
  <c r="AB40" i="9"/>
  <c r="AC40" i="9"/>
  <c r="AD40" i="9"/>
  <c r="AE40" i="9"/>
  <c r="AA50" i="9" l="1"/>
  <c r="AA47" i="9"/>
  <c r="AA46" i="9"/>
  <c r="AA45" i="9"/>
  <c r="AA39" i="9"/>
  <c r="AA40" i="9"/>
  <c r="AA38" i="9"/>
  <c r="E11" i="3" l="1"/>
  <c r="G74" i="9" l="1"/>
  <c r="I54" i="10" l="1"/>
  <c r="F58" i="18"/>
  <c r="F59" i="18"/>
  <c r="D37" i="10"/>
  <c r="D36" i="10"/>
  <c r="F32" i="10"/>
  <c r="H32" i="10"/>
  <c r="D32" i="10"/>
  <c r="C139" i="14" s="1"/>
  <c r="D23" i="10"/>
  <c r="F23" i="10"/>
  <c r="N26" i="10"/>
  <c r="F17" i="10"/>
  <c r="D17" i="10"/>
  <c r="N20" i="10"/>
  <c r="F11" i="10"/>
  <c r="H11" i="10"/>
  <c r="H29" i="10" s="1"/>
  <c r="D11" i="10"/>
  <c r="F31" i="18"/>
  <c r="C27" i="18"/>
  <c r="F28" i="18"/>
  <c r="J27" i="18"/>
  <c r="H27" i="18"/>
  <c r="D27" i="18"/>
  <c r="D19" i="18"/>
  <c r="D17" i="18" s="1"/>
  <c r="E30" i="19"/>
  <c r="D53" i="18"/>
  <c r="D52" i="18"/>
  <c r="D51" i="18"/>
  <c r="D50" i="18"/>
  <c r="D49" i="18"/>
  <c r="D34" i="18"/>
  <c r="D46" i="18"/>
  <c r="D44" i="18"/>
  <c r="D41" i="18"/>
  <c r="D40" i="18"/>
  <c r="D48" i="18" l="1"/>
  <c r="E139" i="14"/>
  <c r="L32" i="10"/>
  <c r="D139" i="14"/>
  <c r="N32" i="10"/>
  <c r="F27" i="18"/>
  <c r="F139" i="14"/>
  <c r="L26" i="10"/>
  <c r="L20" i="10"/>
  <c r="D33" i="18"/>
  <c r="J140" i="20"/>
  <c r="D140" i="20" l="1"/>
  <c r="J95" i="20"/>
  <c r="I95" i="20"/>
  <c r="H95" i="20"/>
  <c r="G95" i="20"/>
  <c r="E95" i="20"/>
  <c r="D95" i="20"/>
  <c r="D84" i="20" l="1"/>
  <c r="D83" i="20" s="1"/>
  <c r="D101" i="18"/>
  <c r="H36" i="19" l="1"/>
  <c r="I36" i="19"/>
  <c r="J36" i="19"/>
  <c r="G36" i="19"/>
  <c r="H38" i="19"/>
  <c r="I38" i="19"/>
  <c r="J38" i="19"/>
  <c r="G38" i="19"/>
  <c r="V42" i="9" l="1"/>
  <c r="Q42" i="9"/>
  <c r="L42" i="9"/>
  <c r="G42" i="9"/>
  <c r="F114" i="18"/>
  <c r="E101" i="18" l="1"/>
  <c r="E41" i="18"/>
  <c r="E40" i="18"/>
  <c r="E44" i="18"/>
  <c r="E46" i="18"/>
  <c r="E53" i="18"/>
  <c r="E52" i="18"/>
  <c r="E51" i="18"/>
  <c r="E50" i="18"/>
  <c r="E49" i="18"/>
  <c r="E34" i="18"/>
  <c r="E48" i="18" l="1"/>
  <c r="E27" i="18"/>
  <c r="E145" i="20"/>
  <c r="E83" i="20" l="1"/>
  <c r="D109" i="14"/>
  <c r="E89" i="20" l="1"/>
  <c r="E125" i="18"/>
  <c r="D125" i="18"/>
  <c r="C125" i="18"/>
  <c r="E109" i="14"/>
  <c r="C109" i="14"/>
  <c r="E55" i="18"/>
  <c r="D55" i="18"/>
  <c r="C55" i="18"/>
  <c r="C20" i="18"/>
  <c r="H45" i="19"/>
  <c r="I45" i="19"/>
  <c r="J45" i="19"/>
  <c r="G45" i="19"/>
  <c r="C85" i="20" l="1"/>
  <c r="J55" i="14" l="1"/>
  <c r="J62" i="14"/>
  <c r="J57" i="14"/>
  <c r="I87" i="14"/>
  <c r="H87" i="14"/>
  <c r="G87" i="14"/>
  <c r="I78" i="14"/>
  <c r="H78" i="14"/>
  <c r="G78" i="14"/>
  <c r="I62" i="14"/>
  <c r="H62" i="14"/>
  <c r="G62" i="14"/>
  <c r="I55" i="14"/>
  <c r="I60" i="14" s="1"/>
  <c r="I69" i="14" s="1"/>
  <c r="I70" i="14" s="1"/>
  <c r="H55" i="14"/>
  <c r="H60" i="14" s="1"/>
  <c r="H69" i="14" s="1"/>
  <c r="H70" i="14" s="1"/>
  <c r="G55" i="14"/>
  <c r="G60" i="14" s="1"/>
  <c r="G69" i="14" s="1"/>
  <c r="G70" i="14" s="1"/>
  <c r="J60" i="14" l="1"/>
  <c r="G90" i="14"/>
  <c r="H90" i="14"/>
  <c r="I90" i="14"/>
  <c r="I74" i="14"/>
  <c r="I75" i="14" s="1"/>
  <c r="G74" i="14"/>
  <c r="G75" i="14" s="1"/>
  <c r="H74" i="14"/>
  <c r="H75" i="14" s="1"/>
  <c r="H19" i="20"/>
  <c r="J19" i="20"/>
  <c r="I19" i="20"/>
  <c r="G19" i="20"/>
  <c r="V51" i="9" l="1"/>
  <c r="AB51" i="9"/>
  <c r="AC51" i="9"/>
  <c r="AD51" i="9"/>
  <c r="AE51" i="9"/>
  <c r="U52" i="9"/>
  <c r="T52" i="9"/>
  <c r="S52" i="9"/>
  <c r="R52" i="9"/>
  <c r="AA51" i="9" l="1"/>
  <c r="F117" i="14"/>
  <c r="E140" i="20" l="1"/>
  <c r="E61" i="20" l="1"/>
  <c r="E57" i="20" s="1"/>
  <c r="E19" i="20"/>
  <c r="E16" i="20" s="1"/>
  <c r="E8" i="20" l="1"/>
  <c r="J17" i="10" l="1"/>
  <c r="M57" i="10" l="1"/>
  <c r="C54" i="10" s="1"/>
  <c r="E34" i="19"/>
  <c r="E25" i="19" s="1"/>
  <c r="E20" i="19"/>
  <c r="D20" i="19"/>
  <c r="H61" i="20"/>
  <c r="H57" i="20" s="1"/>
  <c r="H35" i="20" s="1"/>
  <c r="I61" i="20"/>
  <c r="J61" i="20"/>
  <c r="J57" i="20" s="1"/>
  <c r="J35" i="20" s="1"/>
  <c r="G61" i="20"/>
  <c r="G57" i="20" s="1"/>
  <c r="G35" i="20" s="1"/>
  <c r="F42" i="20"/>
  <c r="F32" i="18"/>
  <c r="G40" i="18"/>
  <c r="R6" i="9"/>
  <c r="Z6" i="9" s="1"/>
  <c r="D117" i="14"/>
  <c r="D114" i="14"/>
  <c r="F119" i="18"/>
  <c r="D34" i="19"/>
  <c r="D25" i="19" s="1"/>
  <c r="D78" i="14" s="1"/>
  <c r="F54" i="10"/>
  <c r="D57" i="10"/>
  <c r="D19" i="11"/>
  <c r="E19" i="11"/>
  <c r="D15" i="11"/>
  <c r="E15" i="11"/>
  <c r="C106" i="14"/>
  <c r="C117" i="14"/>
  <c r="C120" i="14" s="1"/>
  <c r="C47" i="19"/>
  <c r="C42" i="19"/>
  <c r="C87" i="14" s="1"/>
  <c r="C37" i="19"/>
  <c r="C86" i="14" s="1"/>
  <c r="C17" i="19"/>
  <c r="E45" i="18"/>
  <c r="C121" i="18"/>
  <c r="C101" i="18"/>
  <c r="C45" i="18"/>
  <c r="D30" i="10"/>
  <c r="C141" i="14"/>
  <c r="C111" i="20"/>
  <c r="C67" i="14" s="1"/>
  <c r="F54" i="20"/>
  <c r="E54" i="14"/>
  <c r="J78" i="14"/>
  <c r="F60" i="18"/>
  <c r="G21" i="18"/>
  <c r="G19" i="18" s="1"/>
  <c r="G17" i="18" s="1"/>
  <c r="O54" i="10"/>
  <c r="N14" i="10"/>
  <c r="N15" i="10"/>
  <c r="N27" i="10"/>
  <c r="N28" i="10"/>
  <c r="H50" i="18"/>
  <c r="I50" i="18"/>
  <c r="J50" i="18"/>
  <c r="G50" i="18"/>
  <c r="H49" i="18"/>
  <c r="I49" i="18"/>
  <c r="J49" i="18"/>
  <c r="G49" i="18"/>
  <c r="G34" i="18"/>
  <c r="J44" i="18"/>
  <c r="G44" i="18"/>
  <c r="F29" i="18"/>
  <c r="F30" i="18"/>
  <c r="J42" i="19"/>
  <c r="F19" i="19"/>
  <c r="F20" i="19"/>
  <c r="F118" i="18"/>
  <c r="F91" i="18"/>
  <c r="F95" i="18"/>
  <c r="F80" i="18"/>
  <c r="F134" i="18"/>
  <c r="J147" i="20"/>
  <c r="H140" i="20"/>
  <c r="H147" i="20" s="1"/>
  <c r="I140" i="20"/>
  <c r="I147" i="20" s="1"/>
  <c r="G140" i="20"/>
  <c r="G147" i="20" s="1"/>
  <c r="F104" i="20"/>
  <c r="H89" i="20"/>
  <c r="I89" i="20"/>
  <c r="J89" i="20"/>
  <c r="G89" i="20"/>
  <c r="H83" i="20"/>
  <c r="H80" i="20" s="1"/>
  <c r="I83" i="20"/>
  <c r="I80" i="20" s="1"/>
  <c r="J83" i="20"/>
  <c r="J80" i="20" s="1"/>
  <c r="F71" i="20"/>
  <c r="AB42" i="9"/>
  <c r="AC42" i="9"/>
  <c r="AD42" i="9"/>
  <c r="AE42" i="9"/>
  <c r="V35" i="9"/>
  <c r="D6" i="3"/>
  <c r="E17" i="11" s="1"/>
  <c r="E6" i="3"/>
  <c r="E100" i="14" s="1"/>
  <c r="J57" i="10"/>
  <c r="E117" i="14"/>
  <c r="C77" i="18"/>
  <c r="F37" i="10"/>
  <c r="D141" i="14" s="1"/>
  <c r="F36" i="10"/>
  <c r="D140" i="14" s="1"/>
  <c r="F30" i="10"/>
  <c r="H36" i="10"/>
  <c r="E140" i="14" s="1"/>
  <c r="H37" i="10"/>
  <c r="E141" i="14" s="1"/>
  <c r="H30" i="10"/>
  <c r="F9" i="18"/>
  <c r="D17" i="19"/>
  <c r="D147" i="20"/>
  <c r="D117" i="20"/>
  <c r="D68" i="14" s="1"/>
  <c r="D111" i="20"/>
  <c r="D67" i="14" s="1"/>
  <c r="D89" i="20"/>
  <c r="D59" i="14" s="1"/>
  <c r="D80" i="20"/>
  <c r="D58" i="14" s="1"/>
  <c r="D72" i="20"/>
  <c r="D57" i="14" s="1"/>
  <c r="D61" i="20"/>
  <c r="D57" i="20" s="1"/>
  <c r="D35" i="20" s="1"/>
  <c r="D56" i="14" s="1"/>
  <c r="D31" i="20"/>
  <c r="D19" i="20" s="1"/>
  <c r="D16" i="20" s="1"/>
  <c r="D8" i="20" s="1"/>
  <c r="D34" i="20" s="1"/>
  <c r="I16" i="20"/>
  <c r="I8" i="20" s="1"/>
  <c r="I34" i="20" s="1"/>
  <c r="G16" i="20"/>
  <c r="G8" i="20" s="1"/>
  <c r="G34" i="20" s="1"/>
  <c r="H77" i="18"/>
  <c r="I77" i="18"/>
  <c r="J77" i="18"/>
  <c r="F113" i="18"/>
  <c r="F112" i="18"/>
  <c r="F104" i="18"/>
  <c r="F105" i="18"/>
  <c r="F83" i="18"/>
  <c r="N21" i="10"/>
  <c r="N22" i="10"/>
  <c r="F124" i="18"/>
  <c r="H37" i="19"/>
  <c r="I44" i="18"/>
  <c r="F114" i="20"/>
  <c r="F15" i="19"/>
  <c r="F16" i="19"/>
  <c r="F17" i="19"/>
  <c r="F18" i="19"/>
  <c r="F13" i="19"/>
  <c r="E17" i="19"/>
  <c r="E111" i="20"/>
  <c r="E67" i="14" s="1"/>
  <c r="E80" i="20"/>
  <c r="E35" i="20"/>
  <c r="E56" i="14" s="1"/>
  <c r="C96" i="14"/>
  <c r="E121" i="18"/>
  <c r="D121" i="18"/>
  <c r="D77" i="18"/>
  <c r="J121" i="18"/>
  <c r="H121" i="18"/>
  <c r="I121" i="18"/>
  <c r="G121" i="18"/>
  <c r="AB53" i="9"/>
  <c r="AB52" i="9" s="1"/>
  <c r="AC53" i="9"/>
  <c r="AC52" i="9" s="1"/>
  <c r="AD53" i="9"/>
  <c r="AD52" i="9" s="1"/>
  <c r="AE53" i="9"/>
  <c r="AE52" i="9" s="1"/>
  <c r="V53" i="9"/>
  <c r="H53" i="18"/>
  <c r="I53" i="18"/>
  <c r="J53" i="18"/>
  <c r="G53" i="18"/>
  <c r="H52" i="18"/>
  <c r="I52" i="18"/>
  <c r="J52" i="18"/>
  <c r="G52" i="18"/>
  <c r="F92" i="18"/>
  <c r="E77" i="18"/>
  <c r="F126" i="18"/>
  <c r="F127" i="18"/>
  <c r="F129" i="18"/>
  <c r="F130" i="18"/>
  <c r="F88" i="18"/>
  <c r="F89" i="18"/>
  <c r="F90" i="18"/>
  <c r="F93" i="18"/>
  <c r="F96" i="18"/>
  <c r="F97" i="18"/>
  <c r="F98" i="18"/>
  <c r="F99" i="18"/>
  <c r="F86" i="18"/>
  <c r="F100" i="18"/>
  <c r="F79" i="18"/>
  <c r="F84" i="18"/>
  <c r="F85" i="18"/>
  <c r="F101" i="20"/>
  <c r="I56" i="18"/>
  <c r="J56" i="18"/>
  <c r="G56" i="18"/>
  <c r="H134" i="20"/>
  <c r="I134" i="20"/>
  <c r="G134" i="20"/>
  <c r="H133" i="20"/>
  <c r="H51" i="18"/>
  <c r="I51" i="18"/>
  <c r="J51" i="18"/>
  <c r="G51" i="18"/>
  <c r="N17" i="10"/>
  <c r="E13" i="18"/>
  <c r="E37" i="19"/>
  <c r="E86" i="14" s="1"/>
  <c r="E42" i="19"/>
  <c r="E87" i="14" s="1"/>
  <c r="E47" i="19"/>
  <c r="E117" i="20"/>
  <c r="E68" i="14" s="1"/>
  <c r="F103" i="18"/>
  <c r="F122" i="18"/>
  <c r="F123" i="18"/>
  <c r="Y34" i="9"/>
  <c r="Z34" i="9"/>
  <c r="W34" i="9"/>
  <c r="V49" i="9"/>
  <c r="AC49" i="9"/>
  <c r="AC48" i="9" s="1"/>
  <c r="H10" i="3" s="1"/>
  <c r="AD49" i="9"/>
  <c r="AD48" i="9" s="1"/>
  <c r="I10" i="3" s="1"/>
  <c r="AE49" i="9"/>
  <c r="AE48" i="9" s="1"/>
  <c r="J10" i="3" s="1"/>
  <c r="AB49" i="9"/>
  <c r="AB43" i="9"/>
  <c r="AC43" i="9"/>
  <c r="AE43" i="9"/>
  <c r="AB35" i="9"/>
  <c r="S48" i="9"/>
  <c r="T48" i="9"/>
  <c r="U48" i="9"/>
  <c r="R48" i="9"/>
  <c r="Z48" i="9"/>
  <c r="Y48" i="9"/>
  <c r="X48" i="9"/>
  <c r="W48" i="9"/>
  <c r="E80" i="14"/>
  <c r="E53" i="14"/>
  <c r="R34" i="9"/>
  <c r="S34" i="9"/>
  <c r="T34" i="9"/>
  <c r="U34" i="9"/>
  <c r="Q49" i="9"/>
  <c r="L54" i="10"/>
  <c r="G57" i="10"/>
  <c r="E136" i="14"/>
  <c r="J36" i="10"/>
  <c r="F140" i="14" s="1"/>
  <c r="AC6" i="9"/>
  <c r="Z7" i="9"/>
  <c r="AC7" i="9"/>
  <c r="Z8" i="9"/>
  <c r="AC8" i="9"/>
  <c r="Z9" i="9"/>
  <c r="AC9" i="9"/>
  <c r="N10" i="9"/>
  <c r="V10" i="9"/>
  <c r="Z18" i="9"/>
  <c r="AC18" i="9"/>
  <c r="Z19" i="9"/>
  <c r="AC19" i="9"/>
  <c r="Z20" i="9"/>
  <c r="AC20" i="9"/>
  <c r="Z21" i="9"/>
  <c r="AC21" i="9"/>
  <c r="Q22" i="9"/>
  <c r="T22" i="9"/>
  <c r="W22" i="9"/>
  <c r="G35" i="9"/>
  <c r="L35" i="9"/>
  <c r="Q35" i="9"/>
  <c r="AC35" i="9"/>
  <c r="AD35" i="9"/>
  <c r="AE35" i="9"/>
  <c r="G60" i="9"/>
  <c r="H60" i="9"/>
  <c r="I60" i="9"/>
  <c r="J60" i="9"/>
  <c r="K60" i="9"/>
  <c r="L60" i="9"/>
  <c r="M60" i="9"/>
  <c r="N60" i="9"/>
  <c r="O60" i="9"/>
  <c r="P60" i="9"/>
  <c r="L14" i="10"/>
  <c r="L15" i="10"/>
  <c r="L17" i="10"/>
  <c r="P17" i="10"/>
  <c r="L21" i="10"/>
  <c r="L22" i="10"/>
  <c r="P23" i="10"/>
  <c r="L28" i="10"/>
  <c r="J30" i="10"/>
  <c r="C140" i="14"/>
  <c r="K66" i="10"/>
  <c r="M72" i="10"/>
  <c r="M75" i="10"/>
  <c r="M78" i="10"/>
  <c r="D81" i="10"/>
  <c r="G81" i="10"/>
  <c r="J81" i="10"/>
  <c r="F15" i="11"/>
  <c r="F19" i="11"/>
  <c r="C6" i="3"/>
  <c r="C100" i="14" s="1"/>
  <c r="F10" i="18"/>
  <c r="F11" i="18"/>
  <c r="F93" i="14" s="1"/>
  <c r="F12" i="18"/>
  <c r="C13" i="18"/>
  <c r="C7" i="18" s="1"/>
  <c r="D13" i="18"/>
  <c r="D7" i="18" s="1"/>
  <c r="G13" i="18"/>
  <c r="H13" i="18"/>
  <c r="I13" i="18"/>
  <c r="J13" i="18"/>
  <c r="F14" i="18"/>
  <c r="F15" i="18"/>
  <c r="F16" i="18"/>
  <c r="C35" i="18"/>
  <c r="D35" i="18"/>
  <c r="E35" i="18"/>
  <c r="G35" i="18"/>
  <c r="H35" i="18"/>
  <c r="I35" i="18"/>
  <c r="J35" i="18"/>
  <c r="F36" i="18"/>
  <c r="F37" i="18"/>
  <c r="F38" i="18"/>
  <c r="F42" i="18"/>
  <c r="F43" i="18"/>
  <c r="D45" i="18"/>
  <c r="F47" i="18"/>
  <c r="F54" i="18"/>
  <c r="C63" i="18"/>
  <c r="D63" i="18"/>
  <c r="G63" i="18"/>
  <c r="F111" i="18"/>
  <c r="S70" i="9" s="1"/>
  <c r="F128" i="18"/>
  <c r="D96" i="14"/>
  <c r="F142" i="18"/>
  <c r="C143" i="18"/>
  <c r="D143" i="18"/>
  <c r="E143" i="18"/>
  <c r="G143" i="18"/>
  <c r="H143" i="18"/>
  <c r="I143" i="18"/>
  <c r="J143" i="18"/>
  <c r="F144" i="18"/>
  <c r="F145" i="18"/>
  <c r="F146" i="18"/>
  <c r="F147" i="18"/>
  <c r="F148" i="18"/>
  <c r="F163" i="18"/>
  <c r="F97" i="14" s="1"/>
  <c r="C9" i="19"/>
  <c r="F11" i="19"/>
  <c r="F12" i="19"/>
  <c r="C25" i="19"/>
  <c r="F28" i="19"/>
  <c r="F81" i="14" s="1"/>
  <c r="F29" i="19"/>
  <c r="F82" i="14" s="1"/>
  <c r="F31" i="19"/>
  <c r="F84" i="14" s="1"/>
  <c r="F32" i="19"/>
  <c r="F85" i="14" s="1"/>
  <c r="F33" i="19"/>
  <c r="D37" i="19"/>
  <c r="D86" i="14" s="1"/>
  <c r="F40" i="19"/>
  <c r="F41" i="19"/>
  <c r="D42" i="19"/>
  <c r="D87" i="14" s="1"/>
  <c r="F43" i="19"/>
  <c r="F88" i="14" s="1"/>
  <c r="F44" i="19"/>
  <c r="F46" i="19"/>
  <c r="D47" i="19"/>
  <c r="G47" i="19"/>
  <c r="H47" i="19"/>
  <c r="I47" i="19"/>
  <c r="J47" i="19"/>
  <c r="F48" i="19"/>
  <c r="F49" i="19"/>
  <c r="C8" i="20"/>
  <c r="C34" i="20" s="1"/>
  <c r="C35" i="20"/>
  <c r="C56" i="14" s="1"/>
  <c r="F36" i="20"/>
  <c r="F38" i="20"/>
  <c r="F39" i="20"/>
  <c r="F40" i="20"/>
  <c r="F47" i="20"/>
  <c r="F48" i="20"/>
  <c r="F53" i="20"/>
  <c r="F56" i="20"/>
  <c r="C72" i="20"/>
  <c r="C57" i="14" s="1"/>
  <c r="E72" i="20"/>
  <c r="E57" i="14" s="1"/>
  <c r="H72" i="20"/>
  <c r="I72" i="20"/>
  <c r="J72" i="20"/>
  <c r="F73" i="20"/>
  <c r="F74" i="20"/>
  <c r="F75" i="20"/>
  <c r="F76" i="20"/>
  <c r="F77" i="20"/>
  <c r="F78" i="20"/>
  <c r="F79" i="20"/>
  <c r="C80" i="20"/>
  <c r="C58" i="14" s="1"/>
  <c r="F82" i="20"/>
  <c r="C59" i="14"/>
  <c r="F91" i="20"/>
  <c r="F92" i="20"/>
  <c r="F93" i="20"/>
  <c r="F94" i="20"/>
  <c r="F107" i="20"/>
  <c r="F63" i="14" s="1"/>
  <c r="F108" i="20"/>
  <c r="F64" i="14" s="1"/>
  <c r="F109" i="20"/>
  <c r="F65" i="14" s="1"/>
  <c r="F110" i="20"/>
  <c r="F66" i="14" s="1"/>
  <c r="F112" i="20"/>
  <c r="C117" i="20"/>
  <c r="C68" i="14" s="1"/>
  <c r="F118" i="20"/>
  <c r="F122" i="20"/>
  <c r="F71" i="14" s="1"/>
  <c r="F123" i="20"/>
  <c r="F72" i="14" s="1"/>
  <c r="F124" i="20"/>
  <c r="F73" i="14" s="1"/>
  <c r="F130" i="20"/>
  <c r="C133" i="20"/>
  <c r="D133" i="20"/>
  <c r="E133" i="20"/>
  <c r="C134" i="20"/>
  <c r="D134" i="20"/>
  <c r="E134" i="20"/>
  <c r="C135" i="20"/>
  <c r="D135" i="20"/>
  <c r="E135" i="20"/>
  <c r="C136" i="20"/>
  <c r="D136" i="20"/>
  <c r="E136" i="20"/>
  <c r="G136" i="20"/>
  <c r="H136" i="20"/>
  <c r="I136" i="20"/>
  <c r="J136" i="20"/>
  <c r="C137" i="20"/>
  <c r="D137" i="20"/>
  <c r="G137" i="20"/>
  <c r="H137" i="20"/>
  <c r="I137" i="20"/>
  <c r="J137" i="20"/>
  <c r="C147" i="20"/>
  <c r="C53" i="14"/>
  <c r="D53" i="14"/>
  <c r="J69" i="14"/>
  <c r="J70" i="14" s="1"/>
  <c r="B62" i="14"/>
  <c r="C63" i="14"/>
  <c r="D63" i="14"/>
  <c r="E63" i="14"/>
  <c r="C64" i="14"/>
  <c r="D64" i="14"/>
  <c r="E64" i="14"/>
  <c r="C65" i="14"/>
  <c r="D65" i="14"/>
  <c r="E65" i="14"/>
  <c r="C66" i="14"/>
  <c r="D66" i="14"/>
  <c r="E66" i="14"/>
  <c r="C70" i="14"/>
  <c r="C71" i="14"/>
  <c r="D71" i="14"/>
  <c r="E71" i="14"/>
  <c r="C72" i="14"/>
  <c r="D72" i="14"/>
  <c r="E72" i="14"/>
  <c r="C73" i="14"/>
  <c r="D73" i="14"/>
  <c r="E73" i="14"/>
  <c r="C79" i="14"/>
  <c r="D79" i="14"/>
  <c r="E79" i="14"/>
  <c r="C80" i="14"/>
  <c r="D80" i="14"/>
  <c r="C81" i="14"/>
  <c r="D81" i="14"/>
  <c r="E81" i="14"/>
  <c r="C82" i="14"/>
  <c r="D82" i="14"/>
  <c r="E82" i="14"/>
  <c r="C83" i="14"/>
  <c r="D83" i="14"/>
  <c r="E83" i="14"/>
  <c r="C84" i="14"/>
  <c r="D84" i="14"/>
  <c r="E84" i="14"/>
  <c r="C85" i="14"/>
  <c r="D85" i="14"/>
  <c r="E85" i="14"/>
  <c r="J87" i="14"/>
  <c r="C88" i="14"/>
  <c r="D88" i="14"/>
  <c r="E88" i="14"/>
  <c r="C89" i="14"/>
  <c r="D89" i="14"/>
  <c r="E89" i="14"/>
  <c r="C92" i="14"/>
  <c r="D92" i="14"/>
  <c r="C93" i="14"/>
  <c r="D93" i="14"/>
  <c r="E93" i="14"/>
  <c r="C97" i="14"/>
  <c r="D97" i="14"/>
  <c r="E97" i="14"/>
  <c r="D106" i="14"/>
  <c r="E106" i="14"/>
  <c r="C122" i="14"/>
  <c r="D122" i="14"/>
  <c r="E122" i="14"/>
  <c r="G122" i="14"/>
  <c r="H122" i="14"/>
  <c r="I122" i="14"/>
  <c r="J122" i="14"/>
  <c r="F123" i="14"/>
  <c r="F124" i="14"/>
  <c r="F125" i="14"/>
  <c r="C126" i="14"/>
  <c r="D126" i="14"/>
  <c r="E126" i="14"/>
  <c r="G126" i="14"/>
  <c r="H126" i="14"/>
  <c r="I126" i="14"/>
  <c r="J126" i="14"/>
  <c r="F127" i="14"/>
  <c r="F128" i="14"/>
  <c r="F129" i="14"/>
  <c r="C132" i="14"/>
  <c r="D132" i="14"/>
  <c r="E132" i="14"/>
  <c r="F132" i="14"/>
  <c r="C133" i="14"/>
  <c r="D133" i="14"/>
  <c r="E133" i="14"/>
  <c r="F133" i="14"/>
  <c r="C134" i="14"/>
  <c r="D134" i="14"/>
  <c r="E134" i="14"/>
  <c r="C135" i="14"/>
  <c r="D135" i="14"/>
  <c r="F37" i="20"/>
  <c r="F60" i="20"/>
  <c r="L27" i="10"/>
  <c r="X34" i="9"/>
  <c r="X60" i="9" s="1"/>
  <c r="F66" i="20"/>
  <c r="AD43" i="9"/>
  <c r="F110" i="18"/>
  <c r="E96" i="14"/>
  <c r="F25" i="20"/>
  <c r="F78" i="18"/>
  <c r="F30" i="20"/>
  <c r="F63" i="20"/>
  <c r="H135" i="20"/>
  <c r="I133" i="20"/>
  <c r="I135" i="20"/>
  <c r="G133" i="20"/>
  <c r="G135" i="20"/>
  <c r="J135" i="20"/>
  <c r="F11" i="20"/>
  <c r="J133" i="20"/>
  <c r="F32" i="20"/>
  <c r="F44" i="20"/>
  <c r="F90" i="20"/>
  <c r="F145" i="20"/>
  <c r="F111" i="14" s="1"/>
  <c r="F68" i="20"/>
  <c r="F64" i="20"/>
  <c r="F12" i="20"/>
  <c r="F98" i="20"/>
  <c r="F99" i="20"/>
  <c r="F22" i="20"/>
  <c r="F14" i="20"/>
  <c r="F41" i="20"/>
  <c r="J117" i="20"/>
  <c r="F67" i="20"/>
  <c r="F52" i="20"/>
  <c r="F20" i="20"/>
  <c r="H117" i="20"/>
  <c r="F13" i="20"/>
  <c r="F46" i="20"/>
  <c r="F45" i="20"/>
  <c r="F27" i="20"/>
  <c r="F28" i="20"/>
  <c r="F43" i="20"/>
  <c r="F62" i="20"/>
  <c r="I117" i="20"/>
  <c r="H34" i="18"/>
  <c r="F31" i="20"/>
  <c r="F96" i="20"/>
  <c r="F51" i="20"/>
  <c r="F7" i="20"/>
  <c r="F53" i="14" s="1"/>
  <c r="F97" i="20"/>
  <c r="G42" i="19"/>
  <c r="F55" i="20"/>
  <c r="F65" i="20"/>
  <c r="F29" i="20"/>
  <c r="F100" i="20"/>
  <c r="F49" i="20"/>
  <c r="F144" i="20"/>
  <c r="F39" i="19"/>
  <c r="F26" i="20"/>
  <c r="F21" i="20"/>
  <c r="F143" i="20"/>
  <c r="F15" i="20"/>
  <c r="H56" i="18"/>
  <c r="F70" i="20"/>
  <c r="F119" i="20"/>
  <c r="G117" i="20"/>
  <c r="F102" i="20"/>
  <c r="F24" i="20"/>
  <c r="F113" i="20"/>
  <c r="F23" i="20"/>
  <c r="F17" i="20"/>
  <c r="F58" i="20"/>
  <c r="J134" i="20"/>
  <c r="F81" i="20"/>
  <c r="F50" i="20"/>
  <c r="F18" i="20"/>
  <c r="J21" i="18"/>
  <c r="G46" i="18"/>
  <c r="G45" i="18" s="1"/>
  <c r="F88" i="20"/>
  <c r="F23" i="18"/>
  <c r="F10" i="20"/>
  <c r="G37" i="19"/>
  <c r="J34" i="19"/>
  <c r="J37" i="19"/>
  <c r="I37" i="19"/>
  <c r="I34" i="19"/>
  <c r="F36" i="19"/>
  <c r="F35" i="19"/>
  <c r="F59" i="20"/>
  <c r="G34" i="19"/>
  <c r="F9" i="20"/>
  <c r="I19" i="18"/>
  <c r="I17" i="18" s="1"/>
  <c r="I7" i="18" s="1"/>
  <c r="F146" i="20"/>
  <c r="F141" i="20"/>
  <c r="H21" i="18"/>
  <c r="F86" i="20"/>
  <c r="H34" i="19"/>
  <c r="G77" i="18"/>
  <c r="G76" i="18" s="1"/>
  <c r="F94" i="18"/>
  <c r="H16" i="20"/>
  <c r="H8" i="20" s="1"/>
  <c r="J34" i="18"/>
  <c r="I57" i="20"/>
  <c r="I35" i="20" s="1"/>
  <c r="F38" i="19"/>
  <c r="J16" i="20"/>
  <c r="J8" i="20" s="1"/>
  <c r="E59" i="14"/>
  <c r="G83" i="20"/>
  <c r="G80" i="20" s="1"/>
  <c r="H44" i="18"/>
  <c r="H42" i="19"/>
  <c r="F45" i="19"/>
  <c r="F89" i="14" s="1"/>
  <c r="I42" i="19"/>
  <c r="I34" i="18"/>
  <c r="E34" i="20"/>
  <c r="D70" i="14"/>
  <c r="F142" i="20"/>
  <c r="F19" i="20"/>
  <c r="F12" i="3"/>
  <c r="E76" i="18" l="1"/>
  <c r="D76" i="18"/>
  <c r="I76" i="18"/>
  <c r="C73" i="18"/>
  <c r="C141" i="18" s="1"/>
  <c r="C95" i="14" s="1"/>
  <c r="C76" i="18"/>
  <c r="J76" i="18"/>
  <c r="H76" i="18"/>
  <c r="S74" i="9"/>
  <c r="M70" i="9"/>
  <c r="M74" i="9" s="1"/>
  <c r="G7" i="18"/>
  <c r="Z60" i="9"/>
  <c r="W60" i="9"/>
  <c r="Y60" i="9"/>
  <c r="J19" i="18"/>
  <c r="J17" i="18" s="1"/>
  <c r="J7" i="18" s="1"/>
  <c r="J71" i="18"/>
  <c r="J70" i="18" s="1"/>
  <c r="J63" i="18" s="1"/>
  <c r="H19" i="18"/>
  <c r="H17" i="18" s="1"/>
  <c r="H7" i="18" s="1"/>
  <c r="H71" i="18"/>
  <c r="G48" i="18"/>
  <c r="I48" i="18"/>
  <c r="J48" i="18"/>
  <c r="H48" i="18"/>
  <c r="R10" i="9"/>
  <c r="Z10" i="9" s="1"/>
  <c r="C54" i="14"/>
  <c r="I41" i="18"/>
  <c r="J41" i="18"/>
  <c r="H41" i="18"/>
  <c r="E120" i="14"/>
  <c r="F14" i="11" s="1"/>
  <c r="D120" i="14"/>
  <c r="D105" i="14" s="1"/>
  <c r="I55" i="18"/>
  <c r="D17" i="11"/>
  <c r="D54" i="14"/>
  <c r="D55" i="14" s="1"/>
  <c r="E7" i="11" s="1"/>
  <c r="E73" i="18"/>
  <c r="E141" i="18" s="1"/>
  <c r="E95" i="14" s="1"/>
  <c r="D131" i="14"/>
  <c r="J90" i="14"/>
  <c r="I33" i="18"/>
  <c r="H11" i="3"/>
  <c r="J11" i="3"/>
  <c r="G11" i="3"/>
  <c r="J55" i="18"/>
  <c r="G33" i="18"/>
  <c r="F17" i="11"/>
  <c r="B54" i="10"/>
  <c r="B56" i="10"/>
  <c r="B55" i="10"/>
  <c r="B53" i="10"/>
  <c r="AC10" i="9"/>
  <c r="M81" i="10"/>
  <c r="G73" i="18"/>
  <c r="G141" i="18" s="1"/>
  <c r="H55" i="18"/>
  <c r="F126" i="14"/>
  <c r="F137" i="20"/>
  <c r="C106" i="20"/>
  <c r="C132" i="20" s="1"/>
  <c r="C138" i="20" s="1"/>
  <c r="C61" i="14" s="1"/>
  <c r="D8" i="11" s="1"/>
  <c r="AA29" i="9"/>
  <c r="C131" i="14"/>
  <c r="F21" i="18"/>
  <c r="J33" i="18"/>
  <c r="D73" i="18"/>
  <c r="D141" i="18" s="1"/>
  <c r="D95" i="14" s="1"/>
  <c r="J73" i="18"/>
  <c r="H73" i="18"/>
  <c r="I73" i="18"/>
  <c r="I141" i="18" s="1"/>
  <c r="G55" i="18"/>
  <c r="H33" i="18"/>
  <c r="F18" i="11"/>
  <c r="F44" i="18"/>
  <c r="D100" i="14"/>
  <c r="E18" i="11" s="1"/>
  <c r="F42" i="19"/>
  <c r="F87" i="14" s="1"/>
  <c r="F37" i="19"/>
  <c r="F86" i="14" s="1"/>
  <c r="J128" i="20"/>
  <c r="G25" i="19"/>
  <c r="G50" i="19" s="1"/>
  <c r="F117" i="20"/>
  <c r="F68" i="14" s="1"/>
  <c r="C50" i="19"/>
  <c r="C90" i="14" s="1"/>
  <c r="F143" i="18"/>
  <c r="F34" i="19"/>
  <c r="C128" i="20"/>
  <c r="F47" i="19"/>
  <c r="D128" i="20"/>
  <c r="S60" i="9"/>
  <c r="H14" i="19" s="1"/>
  <c r="U60" i="9"/>
  <c r="AD34" i="9"/>
  <c r="AC22" i="9"/>
  <c r="E131" i="14"/>
  <c r="C129" i="20"/>
  <c r="C55" i="14"/>
  <c r="C60" i="14" s="1"/>
  <c r="C69" i="14" s="1"/>
  <c r="C74" i="14" s="1"/>
  <c r="D9" i="11" s="1"/>
  <c r="Q23" i="10"/>
  <c r="F57" i="18"/>
  <c r="D50" i="19"/>
  <c r="D90" i="14" s="1"/>
  <c r="C53" i="10"/>
  <c r="N36" i="10"/>
  <c r="F135" i="20"/>
  <c r="F122" i="14"/>
  <c r="E128" i="20"/>
  <c r="F125" i="18"/>
  <c r="H128" i="20"/>
  <c r="F89" i="20"/>
  <c r="F59" i="14" s="1"/>
  <c r="F83" i="20"/>
  <c r="L36" i="10"/>
  <c r="F13" i="18"/>
  <c r="F51" i="18"/>
  <c r="F134" i="20"/>
  <c r="F52" i="18"/>
  <c r="F53" i="18"/>
  <c r="F49" i="18"/>
  <c r="F50" i="18"/>
  <c r="AA49" i="9"/>
  <c r="V43" i="9"/>
  <c r="V52" i="9"/>
  <c r="J7" i="3"/>
  <c r="AC34" i="9"/>
  <c r="V48" i="9"/>
  <c r="G7" i="3"/>
  <c r="AB34" i="9"/>
  <c r="H7" i="3"/>
  <c r="Q48" i="9"/>
  <c r="V34" i="9"/>
  <c r="AA53" i="9"/>
  <c r="N23" i="10"/>
  <c r="L23" i="10"/>
  <c r="C105" i="14"/>
  <c r="D14" i="11"/>
  <c r="E50" i="19"/>
  <c r="E90" i="14" s="1"/>
  <c r="E78" i="14"/>
  <c r="H102" i="14"/>
  <c r="J74" i="14"/>
  <c r="R60" i="9"/>
  <c r="G14" i="19" s="1"/>
  <c r="D106" i="20"/>
  <c r="F61" i="20"/>
  <c r="F95" i="20"/>
  <c r="AA35" i="9"/>
  <c r="AB48" i="9"/>
  <c r="G10" i="3" s="1"/>
  <c r="F10" i="3" s="1"/>
  <c r="T60" i="9"/>
  <c r="I14" i="19" s="1"/>
  <c r="F133" i="20"/>
  <c r="F136" i="20"/>
  <c r="Z22" i="9"/>
  <c r="Q34" i="9"/>
  <c r="Q52" i="9"/>
  <c r="F8" i="18"/>
  <c r="D129" i="20"/>
  <c r="D18" i="11"/>
  <c r="F57" i="20"/>
  <c r="E58" i="14"/>
  <c r="F56" i="18"/>
  <c r="F34" i="18"/>
  <c r="C78" i="14"/>
  <c r="F77" i="18"/>
  <c r="F72" i="20"/>
  <c r="F57" i="14" s="1"/>
  <c r="F35" i="18"/>
  <c r="AE34" i="9"/>
  <c r="I11" i="3"/>
  <c r="F121" i="18"/>
  <c r="F111" i="20"/>
  <c r="F84" i="20"/>
  <c r="I128" i="20"/>
  <c r="AA42" i="9"/>
  <c r="F135" i="14"/>
  <c r="F18" i="18"/>
  <c r="E55" i="14"/>
  <c r="F7" i="11" s="1"/>
  <c r="F29" i="10"/>
  <c r="D136" i="14" s="1"/>
  <c r="F140" i="20"/>
  <c r="F147" i="20"/>
  <c r="F16" i="20"/>
  <c r="E106" i="20"/>
  <c r="E120" i="20" s="1"/>
  <c r="G128" i="20"/>
  <c r="F80" i="20"/>
  <c r="G106" i="20"/>
  <c r="G120" i="20" s="1"/>
  <c r="J34" i="20"/>
  <c r="J106" i="20" s="1"/>
  <c r="I106" i="20"/>
  <c r="I120" i="20" s="1"/>
  <c r="F35" i="20"/>
  <c r="F56" i="14" s="1"/>
  <c r="H34" i="20"/>
  <c r="H106" i="20" s="1"/>
  <c r="H120" i="20" s="1"/>
  <c r="F8" i="20"/>
  <c r="F76" i="18" l="1"/>
  <c r="H8" i="3"/>
  <c r="AC60" i="9"/>
  <c r="J8" i="3"/>
  <c r="J6" i="3" s="1"/>
  <c r="AE60" i="9"/>
  <c r="G8" i="3"/>
  <c r="AB60" i="9"/>
  <c r="V60" i="9"/>
  <c r="I8" i="3"/>
  <c r="AD60" i="9"/>
  <c r="J141" i="18"/>
  <c r="H70" i="18"/>
  <c r="F71" i="18"/>
  <c r="F67" i="14"/>
  <c r="E105" i="14"/>
  <c r="D7" i="11"/>
  <c r="E14" i="11"/>
  <c r="D13" i="11"/>
  <c r="F11" i="3"/>
  <c r="I7" i="3"/>
  <c r="F7" i="3" s="1"/>
  <c r="C62" i="14"/>
  <c r="C120" i="20"/>
  <c r="C125" i="20" s="1"/>
  <c r="F55" i="18"/>
  <c r="F33" i="18"/>
  <c r="D60" i="14"/>
  <c r="D69" i="14" s="1"/>
  <c r="D74" i="14" s="1"/>
  <c r="E11" i="11" s="1"/>
  <c r="E60" i="14"/>
  <c r="E69" i="14" s="1"/>
  <c r="G41" i="18"/>
  <c r="F41" i="18" s="1"/>
  <c r="F27" i="19"/>
  <c r="F80" i="14" s="1"/>
  <c r="D10" i="11"/>
  <c r="F73" i="18"/>
  <c r="C103" i="14"/>
  <c r="C104" i="14"/>
  <c r="D11" i="11"/>
  <c r="C102" i="14"/>
  <c r="F9" i="3"/>
  <c r="H6" i="3"/>
  <c r="AA43" i="9"/>
  <c r="AA48" i="9"/>
  <c r="G6" i="3"/>
  <c r="G102" i="14"/>
  <c r="J102" i="14"/>
  <c r="J75" i="14"/>
  <c r="AA52" i="9"/>
  <c r="I102" i="14"/>
  <c r="F14" i="19"/>
  <c r="Q60" i="9"/>
  <c r="D120" i="20"/>
  <c r="D125" i="20" s="1"/>
  <c r="D132" i="20"/>
  <c r="D138" i="20" s="1"/>
  <c r="D61" i="14" s="1"/>
  <c r="AA34" i="9"/>
  <c r="E132" i="20"/>
  <c r="E138" i="20" s="1"/>
  <c r="E61" i="14" s="1"/>
  <c r="E62" i="14" s="1"/>
  <c r="H132" i="20"/>
  <c r="H138" i="20" s="1"/>
  <c r="G132" i="20"/>
  <c r="F54" i="14"/>
  <c r="F55" i="14" s="1"/>
  <c r="F34" i="20"/>
  <c r="F106" i="20" s="1"/>
  <c r="F120" i="20" s="1"/>
  <c r="I132" i="20"/>
  <c r="I138" i="20" s="1"/>
  <c r="J132" i="20"/>
  <c r="J138" i="20" s="1"/>
  <c r="J120" i="20"/>
  <c r="F128" i="20"/>
  <c r="F58" i="14"/>
  <c r="F8" i="3" l="1"/>
  <c r="AA60" i="9"/>
  <c r="V61" i="9" s="1"/>
  <c r="F70" i="18"/>
  <c r="H63" i="18"/>
  <c r="E10" i="11"/>
  <c r="I6" i="3"/>
  <c r="F6" i="3" s="1"/>
  <c r="C7" i="19"/>
  <c r="C23" i="19" s="1"/>
  <c r="E8" i="19" s="1"/>
  <c r="C127" i="20"/>
  <c r="C76" i="14" s="1"/>
  <c r="C126" i="20"/>
  <c r="C75" i="14" s="1"/>
  <c r="D10" i="19"/>
  <c r="D9" i="19" s="1"/>
  <c r="D7" i="19"/>
  <c r="D104" i="14"/>
  <c r="D102" i="14"/>
  <c r="D103" i="14"/>
  <c r="E9" i="11"/>
  <c r="F13" i="11"/>
  <c r="E13" i="11"/>
  <c r="E8" i="11"/>
  <c r="D62" i="14"/>
  <c r="D127" i="20"/>
  <c r="D76" i="14" s="1"/>
  <c r="D126" i="20"/>
  <c r="D75" i="14" s="1"/>
  <c r="E70" i="14"/>
  <c r="E74" i="14" s="1"/>
  <c r="E129" i="20"/>
  <c r="E146" i="20" s="1"/>
  <c r="E147" i="20" s="1"/>
  <c r="E125" i="20"/>
  <c r="E10" i="19" s="1"/>
  <c r="F8" i="11"/>
  <c r="G121" i="20"/>
  <c r="J121" i="20"/>
  <c r="J129" i="20" s="1"/>
  <c r="I121" i="20"/>
  <c r="I129" i="20" s="1"/>
  <c r="G7" i="11"/>
  <c r="F60" i="14"/>
  <c r="F69" i="14" s="1"/>
  <c r="G138" i="20"/>
  <c r="F132" i="20"/>
  <c r="F138" i="20" s="1"/>
  <c r="F61" i="14" s="1"/>
  <c r="H121" i="20"/>
  <c r="H129" i="20" s="1"/>
  <c r="G17" i="11" l="1"/>
  <c r="F110" i="14"/>
  <c r="F63" i="18"/>
  <c r="F141" i="18" s="1"/>
  <c r="F95" i="14" s="1"/>
  <c r="H141" i="18"/>
  <c r="E7" i="19"/>
  <c r="E9" i="19"/>
  <c r="D23" i="19"/>
  <c r="F100" i="14"/>
  <c r="G18" i="11" s="1"/>
  <c r="L61" i="9"/>
  <c r="Q61" i="9"/>
  <c r="G61" i="9"/>
  <c r="H125" i="20"/>
  <c r="I125" i="20"/>
  <c r="E127" i="20"/>
  <c r="E76" i="14" s="1"/>
  <c r="E126" i="20"/>
  <c r="E75" i="14" s="1"/>
  <c r="E103" i="14"/>
  <c r="F11" i="11"/>
  <c r="E104" i="14"/>
  <c r="F10" i="11"/>
  <c r="E102" i="14"/>
  <c r="F9" i="11"/>
  <c r="J125" i="20"/>
  <c r="J7" i="19" s="1"/>
  <c r="F121" i="20"/>
  <c r="G129" i="20"/>
  <c r="F62" i="14"/>
  <c r="G8" i="11"/>
  <c r="G13" i="11"/>
  <c r="G125" i="20"/>
  <c r="G7" i="19" s="1"/>
  <c r="F109" i="14" l="1"/>
  <c r="G19" i="11"/>
  <c r="F106" i="14"/>
  <c r="H127" i="20"/>
  <c r="H7" i="19"/>
  <c r="I127" i="20"/>
  <c r="I7" i="19"/>
  <c r="E23" i="19"/>
  <c r="I126" i="20"/>
  <c r="I10" i="19" s="1"/>
  <c r="H126" i="20"/>
  <c r="H10" i="19" s="1"/>
  <c r="AA61" i="9"/>
  <c r="G126" i="20"/>
  <c r="G10" i="19" s="1"/>
  <c r="G127" i="20"/>
  <c r="F70" i="14"/>
  <c r="F74" i="14" s="1"/>
  <c r="F129" i="20"/>
  <c r="F125" i="20"/>
  <c r="F7" i="19" s="1"/>
  <c r="J127" i="20"/>
  <c r="J126" i="20"/>
  <c r="J10" i="19" l="1"/>
  <c r="J9" i="19" s="1"/>
  <c r="H9" i="19"/>
  <c r="I30" i="19" s="1"/>
  <c r="J30" i="19"/>
  <c r="J26" i="19" s="1"/>
  <c r="F126" i="20"/>
  <c r="F75" i="14" s="1"/>
  <c r="F127" i="20"/>
  <c r="F76" i="14" s="1"/>
  <c r="F102" i="14"/>
  <c r="G11" i="11"/>
  <c r="G9" i="19"/>
  <c r="I26" i="19" l="1"/>
  <c r="I46" i="18"/>
  <c r="I45" i="18" s="1"/>
  <c r="F10" i="19"/>
  <c r="I9" i="19"/>
  <c r="F9" i="19" s="1"/>
  <c r="F23" i="19" s="1"/>
  <c r="G23" i="19"/>
  <c r="H8" i="19" s="1"/>
  <c r="J46" i="18"/>
  <c r="J45" i="18" s="1"/>
  <c r="J25" i="19"/>
  <c r="J50" i="19" s="1"/>
  <c r="J40" i="18"/>
  <c r="I25" i="19" l="1"/>
  <c r="I50" i="19" s="1"/>
  <c r="I40" i="18"/>
  <c r="H23" i="19"/>
  <c r="I8" i="19" s="1"/>
  <c r="I23" i="19" s="1"/>
  <c r="H46" i="18"/>
  <c r="F30" i="19"/>
  <c r="F83" i="14" s="1"/>
  <c r="J8" i="19" l="1"/>
  <c r="J23" i="19" s="1"/>
  <c r="H45" i="18"/>
  <c r="F45" i="18" s="1"/>
  <c r="F46" i="18"/>
  <c r="H25" i="19"/>
  <c r="F26" i="19"/>
  <c r="F79" i="14" s="1"/>
  <c r="H40" i="18"/>
  <c r="F40" i="18" l="1"/>
  <c r="H50" i="19"/>
  <c r="F50" i="19" s="1"/>
  <c r="F90" i="14" s="1"/>
  <c r="F25" i="19"/>
  <c r="F78" i="14" s="1"/>
  <c r="F19" i="18" l="1"/>
  <c r="F22" i="18"/>
  <c r="F17" i="18"/>
  <c r="F7" i="18" l="1"/>
  <c r="E19" i="18" l="1"/>
  <c r="E17" i="18" s="1"/>
  <c r="E7" i="18" s="1"/>
  <c r="D29" i="10" l="1"/>
  <c r="C136" i="14" s="1"/>
  <c r="N16" i="10"/>
  <c r="L16" i="10"/>
  <c r="J37" i="10"/>
  <c r="L37" i="10" s="1"/>
  <c r="F134" i="14"/>
  <c r="F131" i="14" s="1"/>
  <c r="J11" i="10"/>
  <c r="L11" i="10" l="1"/>
  <c r="N11" i="10"/>
  <c r="B40" i="21"/>
  <c r="J29" i="10"/>
  <c r="N37" i="10"/>
  <c r="F141" i="14"/>
  <c r="N29" i="10" l="1"/>
  <c r="L29" i="10"/>
  <c r="F136" i="14"/>
  <c r="C39" i="18"/>
  <c r="C26" i="18" s="1"/>
  <c r="C61" i="18" s="1"/>
  <c r="C161" i="18" l="1"/>
  <c r="C164" i="18" s="1"/>
  <c r="E162" i="18" s="1"/>
  <c r="C94" i="14"/>
  <c r="C98" i="14" s="1"/>
  <c r="E92" i="14" l="1"/>
  <c r="D39" i="18"/>
  <c r="D26" i="18" s="1"/>
  <c r="D61" i="18" s="1"/>
  <c r="D161" i="18" l="1"/>
  <c r="D164" i="18" s="1"/>
  <c r="D94" i="14"/>
  <c r="D98" i="14" s="1"/>
  <c r="E39" i="18"/>
  <c r="E26" i="18" s="1"/>
  <c r="E61" i="18" s="1"/>
  <c r="E94" i="14" l="1"/>
  <c r="E98" i="14" s="1"/>
  <c r="E161" i="18"/>
  <c r="E164" i="18" s="1"/>
  <c r="E113" i="14" l="1"/>
  <c r="F92" i="14" l="1"/>
  <c r="F48" i="18"/>
  <c r="J39" i="18"/>
  <c r="J26" i="18" s="1"/>
  <c r="J61" i="18" s="1"/>
  <c r="J161" i="18" s="1"/>
  <c r="I39" i="18"/>
  <c r="I26" i="18" s="1"/>
  <c r="I61" i="18" s="1"/>
  <c r="I161" i="18" s="1"/>
  <c r="H39" i="18"/>
  <c r="H26" i="18" s="1"/>
  <c r="H61" i="18" s="1"/>
  <c r="H161" i="18" s="1"/>
  <c r="G39" i="18"/>
  <c r="F39" i="18" l="1"/>
  <c r="F26" i="18" s="1"/>
  <c r="G26" i="18"/>
  <c r="G61" i="18" s="1"/>
  <c r="G161" i="18" s="1"/>
  <c r="G164" i="18" s="1"/>
  <c r="H162" i="18" s="1"/>
  <c r="H164" i="18" s="1"/>
  <c r="I162" i="18" s="1"/>
  <c r="I164" i="18" s="1"/>
  <c r="J162" i="18" s="1"/>
  <c r="J164" i="18" s="1"/>
  <c r="F61" i="18" l="1"/>
  <c r="F94" i="14" s="1"/>
  <c r="F98" i="14" s="1"/>
  <c r="F161" i="18" l="1"/>
  <c r="F164" i="18" l="1"/>
  <c r="F171" i="18" s="1"/>
  <c r="F113" i="14" l="1"/>
  <c r="F112" i="14" s="1"/>
  <c r="F114" i="14" l="1"/>
  <c r="G15" i="11"/>
  <c r="F120" i="14" l="1"/>
  <c r="F103" i="14"/>
  <c r="G9" i="11"/>
  <c r="F105" i="14" l="1"/>
  <c r="G14" i="11"/>
  <c r="G10" i="11"/>
  <c r="F104" i="14"/>
</calcChain>
</file>

<file path=xl/sharedStrings.xml><?xml version="1.0" encoding="utf-8"?>
<sst xmlns="http://schemas.openxmlformats.org/spreadsheetml/2006/main" count="1421" uniqueCount="843">
  <si>
    <t>Код рядка</t>
  </si>
  <si>
    <t>капітальне будівництво</t>
  </si>
  <si>
    <t>придбання (виготовлення) основних засобів</t>
  </si>
  <si>
    <t>придбання (створення) нематеріальних активів</t>
  </si>
  <si>
    <t>Фінансовий результат від операційної діяльності</t>
  </si>
  <si>
    <t>Витрати на оплату праці</t>
  </si>
  <si>
    <t>Відрахування на соціальні заходи</t>
  </si>
  <si>
    <t>Амортизація</t>
  </si>
  <si>
    <t>за ЗКГНГ</t>
  </si>
  <si>
    <t>за СПОДУ</t>
  </si>
  <si>
    <t xml:space="preserve">за  КВЕД  </t>
  </si>
  <si>
    <t xml:space="preserve">Місцезнаходження  </t>
  </si>
  <si>
    <t xml:space="preserve">Телефон </t>
  </si>
  <si>
    <t xml:space="preserve">Прізвище та ініціали керівника  </t>
  </si>
  <si>
    <t xml:space="preserve">Підприємство  </t>
  </si>
  <si>
    <t xml:space="preserve">Організаційно-правова форма </t>
  </si>
  <si>
    <t xml:space="preserve">Вид економічної діяльності    </t>
  </si>
  <si>
    <t xml:space="preserve">Галузь     </t>
  </si>
  <si>
    <t xml:space="preserve">Код рядка </t>
  </si>
  <si>
    <t>Усього доходів</t>
  </si>
  <si>
    <t>Додаток 1</t>
  </si>
  <si>
    <t>(найменування органу, який розглянув фінансовий план)</t>
  </si>
  <si>
    <t>Територія</t>
  </si>
  <si>
    <t>Форма власності</t>
  </si>
  <si>
    <t>витрати на страхові послуги</t>
  </si>
  <si>
    <t>витрати на аудиторські послуги</t>
  </si>
  <si>
    <t>Валовий прибуток (збиток)</t>
  </si>
  <si>
    <t xml:space="preserve">прибуток </t>
  </si>
  <si>
    <t>збиток</t>
  </si>
  <si>
    <t>Резервний фонд</t>
  </si>
  <si>
    <t>витрати на паливо та енергію</t>
  </si>
  <si>
    <t>Інші операційні витрати</t>
  </si>
  <si>
    <t>придбання (виготовлення) інших необоротних матеріальних активів</t>
  </si>
  <si>
    <t>Чистий грошовий потік</t>
  </si>
  <si>
    <t>Забезпечення</t>
  </si>
  <si>
    <t>х</t>
  </si>
  <si>
    <t>витрати на службові відрядження</t>
  </si>
  <si>
    <t>витрати на зв’язок</t>
  </si>
  <si>
    <t>витрати на оплату праці</t>
  </si>
  <si>
    <t>відрахування на соціальні заходи</t>
  </si>
  <si>
    <t>амортизація основних засобів і нематеріальних активів загальногосподарського призначення</t>
  </si>
  <si>
    <t>витрати на операційну оренду основних засобів та роялті, що мають загальногосподарське призначення</t>
  </si>
  <si>
    <t>витрати на страхування майна загальногосподарського призначення</t>
  </si>
  <si>
    <t>витрати на страхування загальногосподарського персоналу</t>
  </si>
  <si>
    <t xml:space="preserve">організаційно-технічні послуги </t>
  </si>
  <si>
    <t>юридичні послуги</t>
  </si>
  <si>
    <t>послуги з оцінки майна</t>
  </si>
  <si>
    <t>витрати на охорону праці загальногосподарського персоналу</t>
  </si>
  <si>
    <t xml:space="preserve">витрати на підвищення кваліфікації та перепідготовку кадрів </t>
  </si>
  <si>
    <t>витрати на поліпшення основних фондів</t>
  </si>
  <si>
    <t>відрахування до резерву сумнівних боргів</t>
  </si>
  <si>
    <t>№ з/п</t>
  </si>
  <si>
    <t xml:space="preserve">Надходження від продажу акцій та облігацій </t>
  </si>
  <si>
    <t>Залучення кредитних коштів</t>
  </si>
  <si>
    <t>Усього</t>
  </si>
  <si>
    <t>Відсоток</t>
  </si>
  <si>
    <t>Залишок нерозподіленого прибутку (непокритого збитку) на початок звітного періоду</t>
  </si>
  <si>
    <t>Залишок нерозподіленого прибутку (непокритого збитку) на кінець звітного періоду</t>
  </si>
  <si>
    <t>відрахування до недержавних пенсійних фондів</t>
  </si>
  <si>
    <t>витрати на консалтингові послуги</t>
  </si>
  <si>
    <t>амортизація основних засобів і нематеріальних активів</t>
  </si>
  <si>
    <t>консультаційні та інформаційні послуги</t>
  </si>
  <si>
    <t>(найменування органу, з яким погоджено фінансовий план)</t>
  </si>
  <si>
    <t>Зобов'язання</t>
  </si>
  <si>
    <t xml:space="preserve">Сума, валюта за договорами </t>
  </si>
  <si>
    <t>Процентна ставка</t>
  </si>
  <si>
    <t>модернізація, модифікація (добудова, дообладнання, реконструкція) основних засобів</t>
  </si>
  <si>
    <t>Розвиток виробництва</t>
  </si>
  <si>
    <t>витрати на благодійну допомогу</t>
  </si>
  <si>
    <r>
      <t xml:space="preserve">Орган державного управління  </t>
    </r>
    <r>
      <rPr>
        <b/>
        <i/>
        <sz val="14"/>
        <rFont val="Times New Roman"/>
        <family val="1"/>
        <charset val="204"/>
      </rPr>
      <t xml:space="preserve"> </t>
    </r>
  </si>
  <si>
    <t xml:space="preserve">Вид кредитного продукту та цільове призначення </t>
  </si>
  <si>
    <t xml:space="preserve">ІV </t>
  </si>
  <si>
    <t>за минулий рік</t>
  </si>
  <si>
    <t>за плановий рік</t>
  </si>
  <si>
    <t xml:space="preserve">      4. Діючі фінансові зобов'язання підприємства</t>
  </si>
  <si>
    <t xml:space="preserve">      5. Інформація щодо отримання та повернення залучених коштів</t>
  </si>
  <si>
    <t xml:space="preserve">  (найменування органу, з яким погоджено фінансовий план)</t>
  </si>
  <si>
    <t xml:space="preserve">ІІІ </t>
  </si>
  <si>
    <t xml:space="preserve">І </t>
  </si>
  <si>
    <t xml:space="preserve">ІІ </t>
  </si>
  <si>
    <t>витрати на утримання основних фондів, інших необоротних активів загальногосподарського використання,  у тому числі:</t>
  </si>
  <si>
    <t>(підпис)</t>
  </si>
  <si>
    <t>витрати на рекламу</t>
  </si>
  <si>
    <t>рік</t>
  </si>
  <si>
    <t>Інші операційні витрати, усього, у тому числі:</t>
  </si>
  <si>
    <t>Капітальні інвестиції, усього,
у тому числі:</t>
  </si>
  <si>
    <t>податок на доходи фізичних осіб</t>
  </si>
  <si>
    <t>акцизний податок</t>
  </si>
  <si>
    <t>Вид діяльності</t>
  </si>
  <si>
    <t>Заборгованість на останню дату</t>
  </si>
  <si>
    <t>Заборгованість за кредитами на початок ______ року</t>
  </si>
  <si>
    <t>Заборгованість за кредитами на кінець ______ року</t>
  </si>
  <si>
    <t>Бюджетне фінансування</t>
  </si>
  <si>
    <t>інші платежі (розшифрувати)</t>
  </si>
  <si>
    <t>кредити</t>
  </si>
  <si>
    <t>Повернення коштів за короткостроковими зобов'язаннями, у тому числі:</t>
  </si>
  <si>
    <t>Отримання коштів за короткостроковими зобов'язаннями, у тому числі:</t>
  </si>
  <si>
    <t xml:space="preserve">позики </t>
  </si>
  <si>
    <t>у тому числі за кварталами</t>
  </si>
  <si>
    <t>Фінансовий результат до оподаткування</t>
  </si>
  <si>
    <t>І. Формування фінансових результатів</t>
  </si>
  <si>
    <t>Оптимальне значення</t>
  </si>
  <si>
    <t>Примітки</t>
  </si>
  <si>
    <t>у тому числі:</t>
  </si>
  <si>
    <r>
      <t>у тому числі:</t>
    </r>
    <r>
      <rPr>
        <i/>
        <sz val="14"/>
        <rFont val="Times New Roman"/>
        <family val="1"/>
        <charset val="204"/>
      </rPr>
      <t xml:space="preserve"> </t>
    </r>
  </si>
  <si>
    <t>рентна плата за транспортування</t>
  </si>
  <si>
    <t>_____________________________</t>
  </si>
  <si>
    <t>Середньооблікова кількість штатних працівників</t>
  </si>
  <si>
    <t xml:space="preserve">до Порядку складання, затвердження </t>
  </si>
  <si>
    <t>витрати, пов'язані з використанням власних службових автомобілів</t>
  </si>
  <si>
    <t>Дохід від участі в капіталі (розшифрувати)</t>
  </si>
  <si>
    <t>Інші фінансові доходи (розшифрувати)</t>
  </si>
  <si>
    <t>інші адміністративні витрати (розшифрувати)</t>
  </si>
  <si>
    <t>Фінансові витрати (розшифрувати)</t>
  </si>
  <si>
    <t>Втрати від участі в капіталі (розшифрувати)</t>
  </si>
  <si>
    <t>Інші фонди (розшифрувати)</t>
  </si>
  <si>
    <t>Інші цілі (розшифрувати)</t>
  </si>
  <si>
    <t>Усього витрат</t>
  </si>
  <si>
    <t>облігації</t>
  </si>
  <si>
    <t>Інформація</t>
  </si>
  <si>
    <t>інші витрати на збут (розшифрувати)</t>
  </si>
  <si>
    <t>Найменування  банку</t>
  </si>
  <si>
    <t xml:space="preserve">ПОГОДЖЕНО </t>
  </si>
  <si>
    <t xml:space="preserve">ЗАТВЕРДЖЕНО  </t>
  </si>
  <si>
    <t xml:space="preserve">РОЗГЛЯНУТО  </t>
  </si>
  <si>
    <t>за КОАТУУ</t>
  </si>
  <si>
    <t>за КОПФГ</t>
  </si>
  <si>
    <t xml:space="preserve">за ЄДРПОУ </t>
  </si>
  <si>
    <t>у тому числі за основними видами діяльності за КВЕД</t>
  </si>
  <si>
    <t>(найменування підприємства)</t>
  </si>
  <si>
    <t>Код за ЄДРПОУ</t>
  </si>
  <si>
    <t>Рік</t>
  </si>
  <si>
    <t>(посада, ініціали  та прізвище керівника органу</t>
  </si>
  <si>
    <t xml:space="preserve"> рішення Кабінету Міністрів України)</t>
  </si>
  <si>
    <t xml:space="preserve"> управління підприємством або номер відповідного </t>
  </si>
  <si>
    <t>управління підприємством)</t>
  </si>
  <si>
    <t xml:space="preserve">(посада, ініціали та прізвище керівника органу </t>
  </si>
  <si>
    <t>Витрати на збут</t>
  </si>
  <si>
    <t>Адміністративні витрати</t>
  </si>
  <si>
    <t>EBITDA</t>
  </si>
  <si>
    <t>Власний капітал</t>
  </si>
  <si>
    <t>Розподіл чистого прибутку</t>
  </si>
  <si>
    <t>ІІІ. Рух грошових коштів</t>
  </si>
  <si>
    <t>IІ. Розрахунки з бюджетом</t>
  </si>
  <si>
    <t>І. Рух коштів у результаті операційної діяльності</t>
  </si>
  <si>
    <t>II. Рух коштів у результаті інвестиційної діяльності</t>
  </si>
  <si>
    <t>Чистий рух коштів від інвестиційної діяльності </t>
  </si>
  <si>
    <t>III. Рух коштів у результаті фінансової діяльності</t>
  </si>
  <si>
    <t>Чистий рух коштів від фінансової діяльності </t>
  </si>
  <si>
    <t>Розрахунок показника EBITDA</t>
  </si>
  <si>
    <t xml:space="preserve">Вплив зміни валютних курсів на залишок коштів </t>
  </si>
  <si>
    <t>Довгострокові зобов'язання і забезпечення</t>
  </si>
  <si>
    <t>Поточні зобов'язання і забезпечення</t>
  </si>
  <si>
    <t>Собівартість реалізованої продукції (товарів, робіт, послуг)</t>
  </si>
  <si>
    <t>у тому числі на державну частку</t>
  </si>
  <si>
    <t>&gt; 1</t>
  </si>
  <si>
    <t>транспортні витрати</t>
  </si>
  <si>
    <t>витрати на зберігання та упаковку</t>
  </si>
  <si>
    <t>Коефіцієнти рентабельності та прибутковості</t>
  </si>
  <si>
    <t>Аналіз капітальних інвестицій</t>
  </si>
  <si>
    <t>Коефіцієнти фінансової стійкості та ліквідності</t>
  </si>
  <si>
    <t xml:space="preserve">У тому числі за кварталами </t>
  </si>
  <si>
    <t xml:space="preserve">І  </t>
  </si>
  <si>
    <t xml:space="preserve">ІІ  </t>
  </si>
  <si>
    <t xml:space="preserve">ІІІ  </t>
  </si>
  <si>
    <t>Стандарти звітності П(с)БОУ</t>
  </si>
  <si>
    <t>Стандарти звітності МСФЗ</t>
  </si>
  <si>
    <t>Перенесено з додаткового капіталу</t>
  </si>
  <si>
    <t>Марка</t>
  </si>
  <si>
    <t>Рік придбання</t>
  </si>
  <si>
    <t>Витрати, усього</t>
  </si>
  <si>
    <t>Договір</t>
  </si>
  <si>
    <t>Дата початку оренди</t>
  </si>
  <si>
    <t>Основні фінансові показники</t>
  </si>
  <si>
    <t>Чистий дохід від реалізації продукції (товарів, робіт, послуг)</t>
  </si>
  <si>
    <t>державними унітарними підприємствами та їх об'єднаннями до державного бюджету</t>
  </si>
  <si>
    <t>витрати на оренду службових автомобілів</t>
  </si>
  <si>
    <t>Загальна кошторисна вартість</t>
  </si>
  <si>
    <t>Первісна балансова вартість введених потужностей на початок планового року</t>
  </si>
  <si>
    <t>Капітальні інвестиції</t>
  </si>
  <si>
    <t>IV. Капітальні інвестиції</t>
  </si>
  <si>
    <t xml:space="preserve">IV. Капітальні інвестиції </t>
  </si>
  <si>
    <t>VI. Звіт про фінансовий стан</t>
  </si>
  <si>
    <t>V. Коефіцієнтний аналіз</t>
  </si>
  <si>
    <t>8. Джерела капітальних інвестицій</t>
  </si>
  <si>
    <t>курсові різниці</t>
  </si>
  <si>
    <t>2012/1</t>
  </si>
  <si>
    <t>4010</t>
  </si>
  <si>
    <t>x</t>
  </si>
  <si>
    <t>Адміністративні витрати, у тому числі:</t>
  </si>
  <si>
    <t>Витрати на збут, у тому числі:</t>
  </si>
  <si>
    <t>Рентабельність EBITDA</t>
  </si>
  <si>
    <t>Коефіцієнт фінансової стійкості</t>
  </si>
  <si>
    <t>Пояснення та обґрунтування до запланованого рівня доходів/витрат</t>
  </si>
  <si>
    <t>Елементи операційних витрат</t>
  </si>
  <si>
    <t xml:space="preserve">      3. Інформація про бізнес підприємства (код рядка 1000 фінансового плану)</t>
  </si>
  <si>
    <t>Найменування об’єкта</t>
  </si>
  <si>
    <t>9. Капітальне будівництво (рядок 4010 таблиці 4)</t>
  </si>
  <si>
    <t xml:space="preserve">та контролю виконання фінансового плану </t>
  </si>
  <si>
    <t>суб'єкта господарювання державного сектору економіки</t>
  </si>
  <si>
    <t>____________________________________________</t>
  </si>
  <si>
    <t>Коди</t>
  </si>
  <si>
    <t>інші операційні витрати (розшифрувати)</t>
  </si>
  <si>
    <t>Неконтрольована частка</t>
  </si>
  <si>
    <t>плановий рік +1 рік</t>
  </si>
  <si>
    <t>плановий рік +2 роки</t>
  </si>
  <si>
    <t>плановий рік +3 роки</t>
  </si>
  <si>
    <t>директор</t>
  </si>
  <si>
    <t>працівники</t>
  </si>
  <si>
    <t>Найменування показника</t>
  </si>
  <si>
    <t>Інформація згідно із стратегічним планом розвитку</t>
  </si>
  <si>
    <t>Усього зобов'язання і забезпечення</t>
  </si>
  <si>
    <t>Усього активи</t>
  </si>
  <si>
    <t>Доходи і витрати (деталізація)</t>
  </si>
  <si>
    <t>I. Формування фінансових результатів</t>
  </si>
  <si>
    <t>Ковенанти/обмежувальні коефіцієнти</t>
  </si>
  <si>
    <t>адміністративно-управлінський персонал</t>
  </si>
  <si>
    <t>Незавершене будівництво на початок планового року</t>
  </si>
  <si>
    <t>власні кошти</t>
  </si>
  <si>
    <t>кредитні кошти</t>
  </si>
  <si>
    <t xml:space="preserve">                    (підпис)</t>
  </si>
  <si>
    <t xml:space="preserve">Найменування об’єктів </t>
  </si>
  <si>
    <t>Валовий прибуток/збиток</t>
  </si>
  <si>
    <t>витрати на сировину та основні матеріали</t>
  </si>
  <si>
    <t>Матеріальні витрати, у тому числі:</t>
  </si>
  <si>
    <t xml:space="preserve">      2. Перелік підприємств, які включені до консолідованого (зведеного) фінансового плану</t>
  </si>
  <si>
    <t>Найменування підприємства</t>
  </si>
  <si>
    <t>Питома вага в загальному обсязі реалізації, %</t>
  </si>
  <si>
    <t>кількість продукції/             наданих послуг, одиниця виміру</t>
  </si>
  <si>
    <t>Дата видачі/погашення (графік)</t>
  </si>
  <si>
    <t xml:space="preserve">Довгострокові зобов'язання, усього </t>
  </si>
  <si>
    <t>Короткострокові зобов'язання, усього</t>
  </si>
  <si>
    <t>Інші фінансові зобов'язання, усього</t>
  </si>
  <si>
    <t xml:space="preserve">у тому числі </t>
  </si>
  <si>
    <t>Рік початку                і закінчення будівництва</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</si>
  <si>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</si>
  <si>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(пункт 2)</t>
  </si>
  <si>
    <t>Збільшення</t>
  </si>
  <si>
    <t>Характеризує ефективність використання активів підприємства</t>
  </si>
  <si>
    <t>Характеризує ефективність господарської діяльності підприємства</t>
  </si>
  <si>
    <t>Характеризує співвідношення власних та позикових коштів і залежність підприємства від зовнішніх фінансових джерел</t>
  </si>
  <si>
    <t>Характеризує інвестиційну політику підприємства</t>
  </si>
  <si>
    <t>Показує достатність ресурсів підприємства, які може бути використано для погашення його поточних зобов'язань.  Нормативним значенням для цього показника є &gt; 1–1,5</t>
  </si>
  <si>
    <t xml:space="preserve">      Загальна інформація про підприємство (резюме)</t>
  </si>
  <si>
    <t>Мета використання</t>
  </si>
  <si>
    <t>освоєння капітальних вкладень</t>
  </si>
  <si>
    <t>фінансування капітальних інвестицій (оплата грошовими коштами), усього</t>
  </si>
  <si>
    <t>План з повернення коштів</t>
  </si>
  <si>
    <t>Інші коефіцієнти/ковенанти, якщо такі передбачені умовами кредитних договорів, із зазначенням банку, валюти та суми зобов'язання на дату останньої звітності, строку погашення. У графі "Оптимальне значення" вказати граничне значення коефіцієнта</t>
  </si>
  <si>
    <t>План із залучення коштів</t>
  </si>
  <si>
    <t>плановий рік
+4 роки</t>
  </si>
  <si>
    <t>(    )</t>
  </si>
  <si>
    <t>Інші операційні доходи</t>
  </si>
  <si>
    <t>Дохід від участі в капіталі</t>
  </si>
  <si>
    <t>Втрати від участі в капіталі</t>
  </si>
  <si>
    <t>Інші фінансові доходи</t>
  </si>
  <si>
    <t>Фінансові витрати</t>
  </si>
  <si>
    <t>Інші доходи, усього, у тому числі:</t>
  </si>
  <si>
    <t>Інші доходи</t>
  </si>
  <si>
    <t>Інші витрати</t>
  </si>
  <si>
    <t>Витрати з податку на прибуток</t>
  </si>
  <si>
    <t>Дохід з податку на прибуток</t>
  </si>
  <si>
    <t xml:space="preserve">Прибуток від припиненої діяльності після оподаткування </t>
  </si>
  <si>
    <t xml:space="preserve">Збиток від припиненої діяльності після оподаткування </t>
  </si>
  <si>
    <t>Залишок коштів на початок періоду</t>
  </si>
  <si>
    <t>Чистий рух коштів від операційної діяльності</t>
  </si>
  <si>
    <t>Чистий рух коштів від фінансової діяльності</t>
  </si>
  <si>
    <t>Залишок коштів на кінець періоду</t>
  </si>
  <si>
    <t>Рентабельність діяльності</t>
  </si>
  <si>
    <t>Рентабельність активів</t>
  </si>
  <si>
    <t>Рентабельність власного капіталу</t>
  </si>
  <si>
    <t>Коефіцієнт зносу основних засобів</t>
  </si>
  <si>
    <t>Необоротні активи, усього, у тому числі:</t>
  </si>
  <si>
    <t>первісна вартість</t>
  </si>
  <si>
    <t>знос</t>
  </si>
  <si>
    <t>Оборотні активи, усього, у тому числі:</t>
  </si>
  <si>
    <t>7000</t>
  </si>
  <si>
    <t>7001</t>
  </si>
  <si>
    <t>7002</t>
  </si>
  <si>
    <t>7003</t>
  </si>
  <si>
    <t>7010</t>
  </si>
  <si>
    <t>7011</t>
  </si>
  <si>
    <t>7012</t>
  </si>
  <si>
    <t>7013</t>
  </si>
  <si>
    <t>VIII. Дані про персонал та витрати на оплату праці</t>
  </si>
  <si>
    <t>8000</t>
  </si>
  <si>
    <t>8001</t>
  </si>
  <si>
    <t>8002</t>
  </si>
  <si>
    <t>8003</t>
  </si>
  <si>
    <t>8010</t>
  </si>
  <si>
    <t>8020</t>
  </si>
  <si>
    <t>8021</t>
  </si>
  <si>
    <t>8022</t>
  </si>
  <si>
    <t>8023</t>
  </si>
  <si>
    <t>1050/1</t>
  </si>
  <si>
    <t>Інші операційні доходи, усього, у тому числі:</t>
  </si>
  <si>
    <t>нетипові операційні доходи (розшифрувати)</t>
  </si>
  <si>
    <t>інші операційні доходи (розшифрувати)</t>
  </si>
  <si>
    <t>нетипові операційні витрати  (розшифрувати)</t>
  </si>
  <si>
    <t>Інші витрати, усього, у тому числі:</t>
  </si>
  <si>
    <t>Фінансовий результат від операційної діяльності, рядок 1100</t>
  </si>
  <si>
    <t>Нараховані до сплати відрахування частини чистого прибутку, усього, у тому числі:</t>
  </si>
  <si>
    <t>погашення реструктуризованих та відстрочених сум, що підлягають сплаті в поточному році до бюджетів та державних цільових фондів</t>
  </si>
  <si>
    <t xml:space="preserve">Надходження грошових коштів від операційної діяльності </t>
  </si>
  <si>
    <t>Повернення податків і зборів, у тому числі:</t>
  </si>
  <si>
    <t>податку на додану вартість</t>
  </si>
  <si>
    <t>Надходження авансів від покупців і замовників</t>
  </si>
  <si>
    <t>Видатки грошових коштів від операційної діяльності</t>
  </si>
  <si>
    <t xml:space="preserve">Розрахунки з оплати праці </t>
  </si>
  <si>
    <t>Зобов’язання з податків, зборів та інших обов’язкових платежів, у тому числі:</t>
  </si>
  <si>
    <t>податок на прибуток підприємств</t>
  </si>
  <si>
    <t>податок на додану вартість</t>
  </si>
  <si>
    <t>рентна плата</t>
  </si>
  <si>
    <t>інші обов’язкові платежі, у тому числі:</t>
  </si>
  <si>
    <t>відрахування частини чистого прибутку державними підприємствами</t>
  </si>
  <si>
    <t xml:space="preserve">відрахування частини чистого прибутку до фонду на виплату дивідендів на державну частку господарськими товариствами </t>
  </si>
  <si>
    <t>Повернення коштів до бюджету</t>
  </si>
  <si>
    <t xml:space="preserve">Надходження грошових коштів від інвестиційної діяльності </t>
  </si>
  <si>
    <t xml:space="preserve">Виручка від реалізації необоротних активів </t>
  </si>
  <si>
    <t xml:space="preserve">Видатки грошових коштів від інвестиційної діяльності </t>
  </si>
  <si>
    <t xml:space="preserve">Надходження грошових коштів від фінансової діяльності </t>
  </si>
  <si>
    <t>Надходження від власного капіталу</t>
  </si>
  <si>
    <t>Отримання коштів за довгостроковими зобов'язаннями, у тому числі:</t>
  </si>
  <si>
    <t>Витрачання на викуп власних акцій</t>
  </si>
  <si>
    <t>Повернення коштів за довгостроковими зобов'язаннями, у тому числі:</t>
  </si>
  <si>
    <t xml:space="preserve">Сплата дивідендів </t>
  </si>
  <si>
    <t>капітальний ремонт</t>
  </si>
  <si>
    <t>Зменшення</t>
  </si>
  <si>
    <t xml:space="preserve">      1. Дані про підприємство, персонал та витрати на оплату праці</t>
  </si>
  <si>
    <t>Найменування видів діяльності за КВЕД</t>
  </si>
  <si>
    <t>6. Витрати, пов'язані з використанням власних службових автомобілів (у складі адміністративних витрат, рядок 1031)</t>
  </si>
  <si>
    <t>7. Витрати на оренду службових автомобілів (у складі адміністративних витрат, рядок 1032)</t>
  </si>
  <si>
    <t>плюс амортизація, рядок 1430</t>
  </si>
  <si>
    <t>мінус операційні доходи від курсових різниць, рядок 1071</t>
  </si>
  <si>
    <t>плюс операційні витрати від курсових різниць, рядок 1081</t>
  </si>
  <si>
    <t>мінус значні нетипові операційні доходи, рядок 1072</t>
  </si>
  <si>
    <t>плюс значні нетипові операційні витрати, рядок 1082</t>
  </si>
  <si>
    <r>
      <t xml:space="preserve">Середня кількість працівників </t>
    </r>
    <r>
      <rPr>
        <sz val="14"/>
        <rFont val="Times New Roman"/>
        <family val="1"/>
        <charset val="204"/>
      </rPr>
      <t>(штатних працівників, зовнішніх сумісників та працівників, що працюють за цивільно-правовими договорами)</t>
    </r>
    <r>
      <rPr>
        <b/>
        <sz val="14"/>
        <rFont val="Times New Roman"/>
        <family val="1"/>
        <charset val="204"/>
      </rPr>
      <t>, у тому числі:</t>
    </r>
  </si>
  <si>
    <t xml:space="preserve">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 </t>
  </si>
  <si>
    <t>Плановий рік до плану
поточного року, %</t>
  </si>
  <si>
    <t>Плановий рік до факту
минулого року, %</t>
  </si>
  <si>
    <t>Документ, яким затверджений титул будови,
із зазначенням органу, який його погодив</t>
  </si>
  <si>
    <t>факт
минулого року</t>
  </si>
  <si>
    <t>фінансовий план
поточного року</t>
  </si>
  <si>
    <t>плановий рік</t>
  </si>
  <si>
    <t>ІІІ. Рух грошових коштів (за прямим методом)</t>
  </si>
  <si>
    <t>Цільове фінансування</t>
  </si>
  <si>
    <t>Отримано залучених коштів, усього, у тому числі:</t>
  </si>
  <si>
    <t>Повернено залучених коштів, усього, у тому числі:</t>
  </si>
  <si>
    <t>Сплата податків та зборів до Державного бюджету України (податкові платежі), усього, у тому числі:</t>
  </si>
  <si>
    <t>Сплата податків та зборів до місцевих бюджетів (податкові платежі)</t>
  </si>
  <si>
    <t>Усього виплат на користь держави</t>
  </si>
  <si>
    <t>Інші податки, збори та платежі на користь держави, усього, у тому числі:</t>
  </si>
  <si>
    <t>відрахування частини чистого прибутку державними унітарними підприємствами та їх об'єднаннями</t>
  </si>
  <si>
    <t>Інші податки, збори та платежі на користь держави,
усього, у тому числі:</t>
  </si>
  <si>
    <t xml:space="preserve">єдиний внесок на загальнообов'язкове державне соціальне страхування               </t>
  </si>
  <si>
    <t xml:space="preserve">Сплата податків, зборів та інших обов'язкових платежів </t>
  </si>
  <si>
    <t>інші податки та збори (розшифрувати)</t>
  </si>
  <si>
    <t>Сплата податків та зборів до місцевих бюджетів (податкові платежі), усього, у тому числі:</t>
  </si>
  <si>
    <t>митні платежі</t>
  </si>
  <si>
    <t xml:space="preserve">єдиний внесок на загальнообов'язкове державне соціальне страхування                      </t>
  </si>
  <si>
    <t>інші податки, збори та платежі (розшифрувати)</t>
  </si>
  <si>
    <t>Погашення податкового боргу, усього, у тому числі:</t>
  </si>
  <si>
    <t>інші (штрафи, пені, неустойки) (розшифрувати)</t>
  </si>
  <si>
    <t>земельний податок</t>
  </si>
  <si>
    <t>орендна плата</t>
  </si>
  <si>
    <t>Коефіцієнт відношення боргу до EBITDA
(довгострокові зобов'язання, рядок 6030 + поточні зобов'язання, рядок 6040) / EBITDA, рядок 1310</t>
  </si>
  <si>
    <t>Чистий фінансовий результат</t>
  </si>
  <si>
    <t>Чистий фінансовий результат, у тому числі:</t>
  </si>
  <si>
    <t>М. П. (посада, П.І.Б., дата, підпис)</t>
  </si>
  <si>
    <t>Одиниця виміру, тис. грн</t>
  </si>
  <si>
    <t xml:space="preserve">Прибуток </t>
  </si>
  <si>
    <t>Збиток</t>
  </si>
  <si>
    <t>податок на додану вартість, що підлягає сплаті до бюджету за підсумками звітного періоду</t>
  </si>
  <si>
    <t>податок на додану вартість, що підлягає відшкодуванню з бюджету за підсумками звітного періоду</t>
  </si>
  <si>
    <t>рентна плата за користування надрами</t>
  </si>
  <si>
    <t>відрахування частини чистого прибутку господарськими товариствами, у статутному капіталі яких більше 50 відсотків акцій (часток, паїв) належать державі, на виплату дивідендів на державну частку</t>
  </si>
  <si>
    <t>основні засоби</t>
  </si>
  <si>
    <t>гроші та їх еквіваленти</t>
  </si>
  <si>
    <t>У тому числі державні гранти і субсидії</t>
  </si>
  <si>
    <t>У тому числі фінансові запозичення</t>
  </si>
  <si>
    <t>довгострокові зобов'язання</t>
  </si>
  <si>
    <t>короткострокові зобов'язання</t>
  </si>
  <si>
    <t>інші фінансові зобов'язання</t>
  </si>
  <si>
    <t>Середньомісячні витрати на оплату праці одного працівника (грн), усього, у тому числі:</t>
  </si>
  <si>
    <t>Витрати на сировину та основні матеріали</t>
  </si>
  <si>
    <t xml:space="preserve">Витрати на паливо </t>
  </si>
  <si>
    <t>Витрати на електроенергію</t>
  </si>
  <si>
    <t>Витрати, що здійснюються для підтримання об’єкта в робочому стані (проведення ремонту, технічного огляду, нагляду, обслуговування тощо)</t>
  </si>
  <si>
    <t>Амортизація основних засобів і нематеріальних активів</t>
  </si>
  <si>
    <t>Інші витрати (розшифрувати)</t>
  </si>
  <si>
    <t>господарськими товариствами, у статутному капіталі яких більше 50 відсотків акцій (часток, паїв) належать державі, на виплату дивідендів</t>
  </si>
  <si>
    <t>Виручка від реалізації продукції (товарів, робіт, послуг)</t>
  </si>
  <si>
    <r>
      <t>Інші надходження (розшифрувати)</t>
    </r>
    <r>
      <rPr>
        <i/>
        <sz val="14"/>
        <rFont val="Times New Roman"/>
        <family val="1"/>
        <charset val="204"/>
      </rPr>
      <t xml:space="preserve"> </t>
    </r>
  </si>
  <si>
    <t>Коефіцієнт фінансової стійкості
(власний капітал, рядок 6080 / (довгострокові зобов'язання, рядок 6030 + поточні зобов'язання, рядок 6040))</t>
  </si>
  <si>
    <t>Коефіцієнт поточної ліквідності (покриття)
(оборотні активи, рядок 6010 / поточні зобов'язання, рядок 6040)</t>
  </si>
  <si>
    <t>Коефіцієнт відношення капітальних інвестицій до амортизації
(капітальні інвестиції, рядок 4000 / амортизація, рядок 1430)</t>
  </si>
  <si>
    <t>Коефіцієнт відношення капітальних інвестицій до чистого доходу від реалізації продукції (товарів, робіт, послуг)
(капітальні інвестиції, рядок 4000 / чистий дохід від реалізації продукції (товарів, робіт, послуг), рядок 1000)</t>
  </si>
  <si>
    <t>Коефіцієнт зносу основних засобів 
(сума зносу, рядок 6003 / первісна вартість основних засобів, рядок 6002)</t>
  </si>
  <si>
    <t>Фонд оплати праці, тис. грн, у тому числі:</t>
  </si>
  <si>
    <t>Витрати на оплату праці, тис. грн, у тому числі:</t>
  </si>
  <si>
    <t>чистий дохід  від реалізації продукції (товарів, робіт, послуг),     тис. грн</t>
  </si>
  <si>
    <t>ціна одиниці     (вартість  продукції/     наданих послуг), грн</t>
  </si>
  <si>
    <t>тис. грн (без ПДВ)</t>
  </si>
  <si>
    <t>Валова рентабельність
(валовий прибуток, рядок 1020 / чистий дохід від реалізації продукції (товарів, робіт, послуг), рядок 1000) х 100, %</t>
  </si>
  <si>
    <t>Рентабельність EBITDA
(EBITDA, рядок 1310 / чистий дохід від реалізації продукції (товарів, робіт, послуг), рядок 1000) х 100, %</t>
  </si>
  <si>
    <t>Рентабельність діяльності
(чистий фінансовий результат, рядок 1200 / чистий дохід від реалізації продукції (товарів, робіт, послуг), рядок 1000) х 100, %</t>
  </si>
  <si>
    <t>Рентабельність активів
(чистий фінансовий результат, рядок 1200 / вартість активів, рядок 6020) х 100, %</t>
  </si>
  <si>
    <t>Рентабельність власного капіталу
(чистий фінансовий результат, рядок 1200 / власний капітал, рядок 6080) х 100, %</t>
  </si>
  <si>
    <t>КП "Морська пошуково-рятувальна служба"</t>
  </si>
  <si>
    <t>Казенне підприємство</t>
  </si>
  <si>
    <t>Одеська</t>
  </si>
  <si>
    <t>Міністерство інфраструктури України</t>
  </si>
  <si>
    <t>Державна власність</t>
  </si>
  <si>
    <t>Сударев В.О.</t>
  </si>
  <si>
    <t>Морський транспорт</t>
  </si>
  <si>
    <t>1018/1</t>
  </si>
  <si>
    <t>1018/2</t>
  </si>
  <si>
    <t>1018/3</t>
  </si>
  <si>
    <t xml:space="preserve"> - використання основних засобів сторонніх організацій та відшкодування витрат на їх утримання</t>
  </si>
  <si>
    <t xml:space="preserve"> - витрати на відрядження</t>
  </si>
  <si>
    <t xml:space="preserve"> - інші</t>
  </si>
  <si>
    <t>1051/1</t>
  </si>
  <si>
    <t>1051/2</t>
  </si>
  <si>
    <t>1051/3</t>
  </si>
  <si>
    <t xml:space="preserve"> - витрати на матеріали</t>
  </si>
  <si>
    <t xml:space="preserve"> - обов'язкові платежі та збори</t>
  </si>
  <si>
    <t xml:space="preserve"> - використання обладнання та устаткування сторонніх оргнаізацій</t>
  </si>
  <si>
    <t>1051/4</t>
  </si>
  <si>
    <t>1086/1</t>
  </si>
  <si>
    <t xml:space="preserve"> - перерахування профкому</t>
  </si>
  <si>
    <t xml:space="preserve"> - витрати згідно з Колдоговором</t>
  </si>
  <si>
    <t xml:space="preserve"> - лікарняні (перші 5 днів)</t>
  </si>
  <si>
    <t>1086/2</t>
  </si>
  <si>
    <t>1086/3</t>
  </si>
  <si>
    <t>1086/4</t>
  </si>
  <si>
    <t>1073/1</t>
  </si>
  <si>
    <t>1073/2</t>
  </si>
  <si>
    <t>Допоміжне обслуговування водного транспорту</t>
  </si>
  <si>
    <t>65114, м. Одеса, вул. Люстдорфська дорога, 140а</t>
  </si>
  <si>
    <t>(048) 785 07 17</t>
  </si>
  <si>
    <t>52.22</t>
  </si>
  <si>
    <t>I</t>
  </si>
  <si>
    <t>Капітальне будівництво</t>
  </si>
  <si>
    <t>II</t>
  </si>
  <si>
    <t>Придбання (виготовлення) основних засобів</t>
  </si>
  <si>
    <t>III</t>
  </si>
  <si>
    <t>Придбання (виготовлення) інших необоротних матеріальних активів</t>
  </si>
  <si>
    <t>IV</t>
  </si>
  <si>
    <t>Придбання (створення) нематеріальних активів</t>
  </si>
  <si>
    <t>Програмне забезпечення</t>
  </si>
  <si>
    <t>V</t>
  </si>
  <si>
    <t>Модернізація, модифікація (добудова, дообладнання, реконструкція) основних засобів</t>
  </si>
  <si>
    <t>3270/1</t>
  </si>
  <si>
    <t>3270/2</t>
  </si>
  <si>
    <t>збір за використання радіочастотного ресурсу</t>
  </si>
  <si>
    <t>2119/1</t>
  </si>
  <si>
    <t>55.22.Допоміжне обслуговування водного транспорту</t>
  </si>
  <si>
    <t>послуги  розрахункового центру (10% від обсягу)</t>
  </si>
  <si>
    <t>послуги з обслуговування аварійного супутникового обладання</t>
  </si>
  <si>
    <t>1086/5</t>
  </si>
  <si>
    <t>-</t>
  </si>
  <si>
    <t>казенного підприємства "Морська пошуково-рятувальна служба"</t>
  </si>
  <si>
    <t>військовий сбір</t>
  </si>
  <si>
    <t>збір за радіочастоти</t>
  </si>
  <si>
    <t>податок на землю</t>
  </si>
  <si>
    <t xml:space="preserve">% банку </t>
  </si>
  <si>
    <t>Аварійно-рятувальне майно</t>
  </si>
  <si>
    <t>Інше обладнання необхідне для нормального функціонування підприємства, у тому числі згідно норм охорони праці</t>
  </si>
  <si>
    <t>Формений одяг, спецодяг, спецвзуття та знаки розрізнення</t>
  </si>
  <si>
    <t>інші</t>
  </si>
  <si>
    <t>Розробка проекту будівництва плавучих баз для базування пошуково-рятувальних катерів</t>
  </si>
  <si>
    <t>Придбання радіолокаційного та навігаційного обладнання для ММРКПЦ на м/б "Сапфір"</t>
  </si>
  <si>
    <t>Суднові запаси (запасні частини та матеріали для пошуково-рятувальних катерів) відповідно до вимог Регістру )</t>
  </si>
  <si>
    <t>Підписка на періодичні видання</t>
  </si>
  <si>
    <t xml:space="preserve">Програмне забезпечення </t>
  </si>
  <si>
    <t>Послуги банку</t>
  </si>
  <si>
    <t>Витрати на зв'язок</t>
  </si>
  <si>
    <t>Витрати на навчання виробничого персоналу</t>
  </si>
  <si>
    <t>Витрати на охорону навколишнього середовища</t>
  </si>
  <si>
    <t xml:space="preserve">Організаційно-технічні послуги </t>
  </si>
  <si>
    <t>Послуги, що надаються суднам у місцях стоянки</t>
  </si>
  <si>
    <t>Витрати на охорону праці</t>
  </si>
  <si>
    <t>Транзитні надходження</t>
  </si>
  <si>
    <t>Фонд матеріального заохочення</t>
  </si>
  <si>
    <t>Власні кошти (Фонд розвитку виробництва та амортизаційні відрахування)</t>
  </si>
  <si>
    <t>10% корабельного збору відповідно до ПКМУ № 158 від 24.02.2016 року, у тому числі</t>
  </si>
  <si>
    <t>Рекламні послуги, висвітлення діяльності підприємства, розміщення інформації в ЗМІ</t>
  </si>
  <si>
    <t>Послуги державних реестраторів та ТПП</t>
  </si>
  <si>
    <t>Придбання причепів паливозаправників ПТЗ</t>
  </si>
  <si>
    <t>придбання житлових модулів</t>
  </si>
  <si>
    <t xml:space="preserve">Усього, у тому числі </t>
  </si>
  <si>
    <t>1051/4/1</t>
  </si>
  <si>
    <t>1051/4/2</t>
  </si>
  <si>
    <t>1051/4/3</t>
  </si>
  <si>
    <t>1051/4/4</t>
  </si>
  <si>
    <t>1051/4/5</t>
  </si>
  <si>
    <t>1051/4/6</t>
  </si>
  <si>
    <t>1051/4/7</t>
  </si>
  <si>
    <t>1018/3/1</t>
  </si>
  <si>
    <t>1018/3/2</t>
  </si>
  <si>
    <t>1018/3/3</t>
  </si>
  <si>
    <t>1018/3/4</t>
  </si>
  <si>
    <t>1018/3/5</t>
  </si>
  <si>
    <t>1018/3/6</t>
  </si>
  <si>
    <t>1018/3/7</t>
  </si>
  <si>
    <t>1018/3/8</t>
  </si>
  <si>
    <t>1018/3/9</t>
  </si>
  <si>
    <t>1018/3/10</t>
  </si>
  <si>
    <t>1086/6</t>
  </si>
  <si>
    <t>транзитні платежі</t>
  </si>
  <si>
    <t xml:space="preserve"> - дохід від безоплатно одержаних оборотних активів, у тому числі</t>
  </si>
  <si>
    <t>1073/1/1</t>
  </si>
  <si>
    <t>Факт 2017 року</t>
  </si>
  <si>
    <r>
      <t>Придбання (створення) нематеріальних активів (розшифрувати)</t>
    </r>
    <r>
      <rPr>
        <b/>
        <i/>
        <sz val="14"/>
        <rFont val="Times New Roman"/>
        <family val="1"/>
        <charset val="204"/>
      </rPr>
      <t xml:space="preserve"> </t>
    </r>
  </si>
  <si>
    <t>Витрати щодо послуг ДІКМС</t>
  </si>
  <si>
    <t>доходи від цільового фінансування заходів на функціонування підприємства</t>
  </si>
  <si>
    <t>оренда</t>
  </si>
  <si>
    <t>витрати на уплату авансів</t>
  </si>
  <si>
    <r>
      <t>Капітальне будівництво (розшифрувати)</t>
    </r>
    <r>
      <rPr>
        <b/>
        <i/>
        <sz val="14"/>
        <rFont val="Times New Roman"/>
        <family val="1"/>
        <charset val="204"/>
      </rPr>
      <t xml:space="preserve"> </t>
    </r>
  </si>
  <si>
    <r>
      <t>Придбання (створення) основних засобів (розшифрувати)</t>
    </r>
    <r>
      <rPr>
        <b/>
        <i/>
        <sz val="14"/>
        <rFont val="Times New Roman"/>
        <family val="1"/>
        <charset val="204"/>
      </rPr>
      <t xml:space="preserve"> </t>
    </r>
  </si>
  <si>
    <t>1018/3/12</t>
  </si>
  <si>
    <t>1018/3/13</t>
  </si>
  <si>
    <t>1018/3/11</t>
  </si>
  <si>
    <t>1051/4/8</t>
  </si>
  <si>
    <t>1086/7</t>
  </si>
  <si>
    <t>пільгові пенсії</t>
  </si>
  <si>
    <t>Придбання технологічного обладнання та елементів металоконструкцій Базової станції у м.Бердянськ</t>
  </si>
  <si>
    <t>інші податки та збори (податок на нерухомість)</t>
  </si>
  <si>
    <t>податок на нерухомість</t>
  </si>
  <si>
    <t>Розробка проектів землеустрою</t>
  </si>
  <si>
    <t>Розрахунки за пальне</t>
  </si>
  <si>
    <t>Переносний дизельгенератор 6,5кВт</t>
  </si>
  <si>
    <t>Витрати на компенсацію витрат балансоутримувача на утримання офісного будинку у м. Одеса та прилеглої території</t>
  </si>
  <si>
    <t>Отримання науково-дослідницької роботи щодо окремих питань діяльності підприємства</t>
  </si>
  <si>
    <t>інші доходи</t>
  </si>
  <si>
    <t>Фонд розвитку виробництва</t>
  </si>
  <si>
    <t>Витрати оподаткованої дільності</t>
  </si>
  <si>
    <t>Витрати цільового фінансування</t>
  </si>
  <si>
    <t>Доходи оподаткованої діяльності</t>
  </si>
  <si>
    <t xml:space="preserve"> Витрати цільового фінансування</t>
  </si>
  <si>
    <t>Розробка проектів землеустрою для введення в постійне користування</t>
  </si>
  <si>
    <t>військовий збір</t>
  </si>
  <si>
    <t>2119/2</t>
  </si>
  <si>
    <t>Поставка, монтаж та налаштування обладнання згідно проектної документації на об'єкт: Технічне переоснащення Експлуатаційного центру управління Берегового радіоцентру морського району А1, А2 ГМЗЛБ м Бердянськ</t>
  </si>
  <si>
    <t>Придбання човна  з двигуном для ПРК -06</t>
  </si>
  <si>
    <t>Придбання човна з двигуном (5,2м) для м/б "Витязь"</t>
  </si>
  <si>
    <t>Придбання човна з двигуном (6,9м) для м/б "Сапфір"</t>
  </si>
  <si>
    <t>Придбання колісного багатофункціонального екскаватора-навантажувача вантажопідйомністю 4т</t>
  </si>
  <si>
    <t>1051/4/9</t>
  </si>
  <si>
    <t>1051/4/10</t>
  </si>
  <si>
    <t>1152/1</t>
  </si>
  <si>
    <t>1152/2</t>
  </si>
  <si>
    <t>1152/3</t>
  </si>
  <si>
    <t xml:space="preserve">витрати на утримання основних фондів загальногосподарського призначення </t>
  </si>
  <si>
    <t>Розробка та експертиза проектної документації на об'єкт: Будівництво Базової станції "Бердянськ" Берегової радіостанції морського району А1 ГМЗЛБ м.Бердянськ</t>
  </si>
  <si>
    <t>Поставка, монтаж та налаштування обладнання згідно проектної документації  на об'єкт: Будівництво Базової станції "Бердянськ" Берегової радіостанції морського району А1 ГМЗЛБ м.Бердянськ</t>
  </si>
  <si>
    <t>Поставка, монтаж та налаштування обладнання згідно проектної документації на об'єкт: Будівництво Базової станції "Маріуполь" Берегової радіостанції морського району А1 ГМЗЛБ м.Бердянськ</t>
  </si>
  <si>
    <t>Обладнання для технічного захисту офісу, будівлі м. Бердянськ</t>
  </si>
  <si>
    <t xml:space="preserve">Технічна та спеціалізована література </t>
  </si>
  <si>
    <t>Інше</t>
  </si>
  <si>
    <t>Інші джерела (кошти цільового фінансування на розвиток системи пошуку та рятування)</t>
  </si>
  <si>
    <t>Розробка та експертиза проектної документації на об’єкт: Нове будівництво Базової станції «Очаків» Берегової радіостанції морського району А1 Глобальної морської системи зв’язку під час лиха та для забезпечення безпеки мореплавства, за адресою: Миколаївська область, Очаківський район, с.Чорноморка, вул. Суворова, 126/7</t>
  </si>
  <si>
    <t>Kia Pregio</t>
  </si>
  <si>
    <t>службове використання</t>
  </si>
  <si>
    <t>Розробка та експертиза проектної документації на об’єкт: Нове будівництво Базової станції «Зміїний» Берегової радіостанції морського району А1 Глобальної морської системи зв’язку під час лиха та для забезпечення безпеки мореплавства, за адресою: с. Біле, о. Зміїний, Кілійського району, Одеської області</t>
  </si>
  <si>
    <t>Розробка та експертиза проектної документації на об’єкт: Нове будівництво Базової станції «Лазурне» Берегової радіостанції морського району А1 Глобальної морської системи зв’язку під час лиха для забезпечення безпеки, за адресою: вул. Приозерна, смт Лазурне, Скадовського району, Херсонської області</t>
  </si>
  <si>
    <t>Будівельні роботи згідно  проектної документації на об’єкт: Нове будівництво Базової станції «Лазурне» Берегової радіостанції морського району А1 Глобальної морської системи зв’язку під час лиха для забезпечення безпеки, за адресою: вул. Приозерна, смт Лазурне, Скадовського району, Херсонської області</t>
  </si>
  <si>
    <t>Розробка та експертиза проектної документації на об’єкт: Нове будівництво Базової станції «Миколаївка» Берегової радіостанції морського району А1 Глобальної морської системи зв’язку під час лиха та для забезпечення безпеки мореплавства, за адресою: Одеська область,  Білгород-Дністровський район, с. Миколаївка,  вул. Гагаріна, 69/5</t>
  </si>
  <si>
    <t>Будівельні роботи згідно  проектної документації на об’єкт: Нове будівництво Базової станції «Миколаївка» Берегової радіостанції морського району А1 Глобальної морської системи зв’язку під час лиха та для забезпечення безпеки мореплавства, за адресою: Одеська область,  Білгород-Дністровський район, с. Миколаївка,  вул. Гагаріна, 69/5</t>
  </si>
  <si>
    <t>Реєстраційні збори, державне мито та аналогічні платежі, що здійснюються у зв'язку з отриманням прав власності на об'єкти основних засобів, отриманих від ДП "МАРС"</t>
  </si>
  <si>
    <t>Розробка та експертиза проектної документації на об’єкт: Технічне переоснащення Базової станції «В.Фонтан» Берегової радіостанції морського району А1, А2 Глобальної морської системи зв’язку під час лиха та для забезпечення безпеки мореплавства м. Одеса за адресою: м. Одеса, пров. Маячний, 5 (мис Великий Фонтан, територія ДУ «Держгідрографія»)</t>
  </si>
  <si>
    <t>Поставка, монтаж та налаштування обладнання згідно проектної документації на об’єкт: Технічне переоснащення Базової станції «В.Фонтан» Берегової радіостанції морського району А1, А2 Глобальної морської системи зв’язку під час лиха та для забезпечення безпеки мореплавства м. Одеса за адресою: м. Одеса, пров. Маячний, 5 (мис Великий Фонтан, територія ДУ «Держгідрографія»)</t>
  </si>
  <si>
    <t>Обслуговування комп'ютерних програм</t>
  </si>
  <si>
    <t>Витрати на консультування щодо бухобліку</t>
  </si>
  <si>
    <t>1086/8</t>
  </si>
  <si>
    <t>придбання інших нематеріальних активів</t>
  </si>
  <si>
    <t>Обладнання зв'язку та радіонавігації</t>
  </si>
  <si>
    <t>Серверне та комунікаційне обладнання, засоби обчислювальної техніки</t>
  </si>
  <si>
    <t>Модернізація плавучої бази рятувальних катерів "ПБРК-02" (Роботи з розроблення та оформлення проектної документації)</t>
  </si>
  <si>
    <t>обладнання та інше устаткування для пошуково-рятувальних катерів, р/с Сапфір</t>
  </si>
  <si>
    <t>Розробка та експертиза проекної документації на об'єкт: Технічне переоснащення Експлуатаційного центру управління Берегового радіоцентру морського району  А1, А2 ГМЗЛБ м.Одеса</t>
  </si>
  <si>
    <t xml:space="preserve">Поставка, монтаж та налаштування обладнання згідно проектної документації на об'єкт: Технічне переоснащення Експлуатаційного центру управління Берегового радіоцентру морського району  А1, А2 ГМЗЛБ м.Одеса </t>
  </si>
  <si>
    <t>Отримання технічних умов для підключення до електричних мереж нових об'єктів будівництва</t>
  </si>
  <si>
    <t>Геодезична зйомка на земельній ділянці площею 0,10га на території смт Лазурне, вул.Приозерна, Скадовського району, Херсонської області</t>
  </si>
  <si>
    <t>Інші зобов'язання за платежами</t>
  </si>
  <si>
    <t>кошти цільового фінансування на функціонування діяльності підприємства</t>
  </si>
  <si>
    <t>кошти цільового фінансування на розвиток системи пошуку та рятування</t>
  </si>
  <si>
    <t>Цільове фінансування  (надходження від ФСС)</t>
  </si>
  <si>
    <t>Плановий рік до плану минулого року, %</t>
  </si>
  <si>
    <t>2060/1</t>
  </si>
  <si>
    <t>2050/1</t>
  </si>
  <si>
    <t>2050/2</t>
  </si>
  <si>
    <t>Водопостачання суден КП МПРС</t>
  </si>
  <si>
    <t>1018/3/14</t>
  </si>
  <si>
    <t>Плановий 2019 рік (усього)</t>
  </si>
  <si>
    <t>Фінансовий план 2018 року</t>
  </si>
  <si>
    <r>
      <t xml:space="preserve">ФІНАНСОВИЙ ПЛАН ПІДПРИЄМСТВА НА </t>
    </r>
    <r>
      <rPr>
        <b/>
        <u/>
        <sz val="14"/>
        <rFont val="Times New Roman"/>
        <family val="1"/>
        <charset val="204"/>
      </rPr>
      <t>2019</t>
    </r>
    <r>
      <rPr>
        <b/>
        <sz val="14"/>
        <rFont val="Times New Roman"/>
        <family val="1"/>
        <charset val="204"/>
      </rPr>
      <t xml:space="preserve"> рік</t>
    </r>
  </si>
  <si>
    <t>Рік 2019</t>
  </si>
  <si>
    <t>Плановий 2019 рік</t>
  </si>
  <si>
    <t>Фактичний показник за 2017 минулий рік</t>
  </si>
  <si>
    <t>Плановий показник  2018 року</t>
  </si>
  <si>
    <t>Плановий 2019  рік</t>
  </si>
  <si>
    <t>факт
2017 року</t>
  </si>
  <si>
    <t>плановий 2019 рік</t>
  </si>
  <si>
    <t>2060/2</t>
  </si>
  <si>
    <t>Розробка та експертиза проектної документації на об'єкт: Технічне переоснащення  Експлуатаційного центру управління Берегового радіоцентру морського району А1, А2 ГМЗЛБ м.Бердянськ</t>
  </si>
  <si>
    <t>Фінансовий план
2018 року</t>
  </si>
  <si>
    <t>Витрати на страхування плавзасобів, членів екіпажу, автотранспорту</t>
  </si>
  <si>
    <t>Послуги зі зберігання палива</t>
  </si>
  <si>
    <t>Коригування показника розподілу чистого прибутку за фактичними результатами діяльності</t>
  </si>
  <si>
    <t>Адміністративні послуги Державних реєстраторів, ТПП. Витрати цільового фінансування</t>
  </si>
  <si>
    <t>Кошти цільового фінансування, що спрямовуються на функціонування підприємства, відповідно до умов Облікової політики КП МПРС . (Частина коштів 10% корабельного збору відповідно до Постанови КМУ № 158 від 24.02.2016 року). Доходи цільового фінансування.</t>
  </si>
  <si>
    <t>витрати цільового фінансування</t>
  </si>
  <si>
    <t>Витрати оподаткованої діяльності</t>
  </si>
  <si>
    <t>Витрати пов'язані з переходом підприємства на МСФЗ та вирішення поточних проблем. Витрати цільового фінансування</t>
  </si>
  <si>
    <r>
      <t xml:space="preserve">У зв’язку з виробничої необхідністю у заміні вузлів та агрегатів на суднах, а також, згідно до вимог Регістру судноплавства України та Нормативного документу морського транспорту України КНД 31.2.003.01-96, включені до закупівлі запчастини для аварійних робіт на пошуково-рятувальні катери та р/с «Сапфір», запасні частини для служб ГМЗЛБ. </t>
    </r>
    <r>
      <rPr>
        <i/>
        <sz val="11"/>
        <rFont val="Times New Roman"/>
        <family val="1"/>
        <charset val="204"/>
      </rPr>
      <t>Витрати цільового фінансування</t>
    </r>
  </si>
  <si>
    <r>
      <t xml:space="preserve">Єдиний соціальний внесок 22 % від витрат на оплату праці. </t>
    </r>
    <r>
      <rPr>
        <i/>
        <sz val="11"/>
        <rFont val="Times New Roman"/>
        <family val="1"/>
        <charset val="204"/>
      </rPr>
      <t xml:space="preserve">Витрати цільового фінансування </t>
    </r>
  </si>
  <si>
    <r>
      <t xml:space="preserve">Охорона праці (медогляди, навчання). </t>
    </r>
    <r>
      <rPr>
        <i/>
        <sz val="11"/>
        <rFont val="Times New Roman"/>
        <family val="1"/>
        <charset val="204"/>
      </rPr>
      <t xml:space="preserve">Витрати цільового фінансування </t>
    </r>
  </si>
  <si>
    <r>
      <t>Послуги СЕС.</t>
    </r>
    <r>
      <rPr>
        <i/>
        <sz val="11"/>
        <rFont val="Times New Roman"/>
        <family val="1"/>
        <charset val="204"/>
      </rPr>
      <t xml:space="preserve"> Витрати цільового фінансування </t>
    </r>
  </si>
  <si>
    <r>
      <t xml:space="preserve">Послуги банку (РКО). </t>
    </r>
    <r>
      <rPr>
        <i/>
        <sz val="11"/>
        <rFont val="Times New Roman"/>
        <family val="1"/>
        <charset val="204"/>
      </rPr>
      <t>Витрати цільового фінансування</t>
    </r>
  </si>
  <si>
    <r>
      <t xml:space="preserve">Згідно Колдоговору 7% від ФОП. </t>
    </r>
    <r>
      <rPr>
        <i/>
        <sz val="11"/>
        <rFont val="Times New Roman"/>
        <family val="1"/>
        <charset val="204"/>
      </rPr>
      <t>Витрати цільового фінансування</t>
    </r>
  </si>
  <si>
    <r>
      <t xml:space="preserve">Витрати відповідно до Колдоговору. </t>
    </r>
    <r>
      <rPr>
        <i/>
        <sz val="11"/>
        <rFont val="Times New Roman"/>
        <family val="1"/>
        <charset val="204"/>
      </rPr>
      <t>Витрати цільового фінансування</t>
    </r>
  </si>
  <si>
    <t>до фінансового плану на 2019 рік</t>
  </si>
  <si>
    <t>Послуги СЕС</t>
  </si>
  <si>
    <t>1073/1/2</t>
  </si>
  <si>
    <t>10% корабельного збору відповідно до Постанови КМУ № 158 від 24.02.2016 року</t>
  </si>
  <si>
    <t>Витрати згідно Закону України «Про пенсійне забезпечення». Витрати цільового фінансування</t>
  </si>
  <si>
    <t>Оплата за проведення аудиту</t>
  </si>
  <si>
    <t>перерахування профкому</t>
  </si>
  <si>
    <t>3170/1</t>
  </si>
  <si>
    <t>3170/2</t>
  </si>
  <si>
    <t>3170/3</t>
  </si>
  <si>
    <t>3170/4</t>
  </si>
  <si>
    <t>10% корабельного збору відповідно до ПКМУ № 158 від 24.02.2016 року</t>
  </si>
  <si>
    <t>Витрати на організацію і проведення Конференції з пошуку та рятування на Чорному морі</t>
  </si>
  <si>
    <t xml:space="preserve"> - ЄСВ на матеріальні заохочення та загальну суму лікарняних</t>
  </si>
  <si>
    <t>Плата за використання радіочастотного ресурсу, земельний податок, податок на нерухомість</t>
  </si>
  <si>
    <t>дохід від безоплатно одержаних активів (безоплатно отримані основні засоби)</t>
  </si>
  <si>
    <t>Витрати на обслуговування автотранспорту (шиномонтаж, мийка, тощо)</t>
  </si>
  <si>
    <t>Витрати на утримання основних фондів (м. Бердянськ, вул Горького, 12; смт Олександрівка)</t>
  </si>
  <si>
    <t>1086/9</t>
  </si>
  <si>
    <t>3110/1</t>
  </si>
  <si>
    <t>3110/2</t>
  </si>
  <si>
    <t>3110/3</t>
  </si>
  <si>
    <t>3110/4</t>
  </si>
  <si>
    <t>Розрахунки за продукцію (товари, роботи та послуги), в т.ч.:</t>
  </si>
  <si>
    <t>Розрахунки за товари, роботи та послуги</t>
  </si>
  <si>
    <t>3110/5</t>
  </si>
  <si>
    <t>члени наглядової ради</t>
  </si>
  <si>
    <t>члени правління</t>
  </si>
  <si>
    <t>керівник</t>
  </si>
  <si>
    <t>керівник, усього, у тому числі:</t>
  </si>
  <si>
    <t>посадовий оклад</t>
  </si>
  <si>
    <t>преміювання</t>
  </si>
  <si>
    <t>інші виплати, передбачені законодавством</t>
  </si>
  <si>
    <t>3170/5</t>
  </si>
  <si>
    <t>8024</t>
  </si>
  <si>
    <t>8025</t>
  </si>
  <si>
    <t>Інші інструменти, прилади, інвентар, мережеве обладнання</t>
  </si>
  <si>
    <t>Придбання автомобіля Volkswagen Amarok</t>
  </si>
  <si>
    <t>Обладнання зв'язку та радіонавігації (для суден)</t>
  </si>
  <si>
    <t>Обладнання та інше устаткування на плавзасоби</t>
  </si>
  <si>
    <t>Інше обладнання необхідне для нормального функціонування підприємства, у тому числі згідно охорони праці</t>
  </si>
  <si>
    <t>Інструменти, обладнання, мережеве обладнання</t>
  </si>
  <si>
    <t xml:space="preserve">Інші необоротні матеріальні активи, необхідні для функціонування підприємства, у тому числі згідно норм охорони праці </t>
  </si>
  <si>
    <t>Технічна та спеціалізована література</t>
  </si>
  <si>
    <t>Придбання інших нематеріальних активів</t>
  </si>
  <si>
    <t>Будівництво прохідної в смт Олександрівка</t>
  </si>
  <si>
    <t>1152/4</t>
  </si>
  <si>
    <t>доходи від відчуження</t>
  </si>
  <si>
    <t>Оплата за розробку проекту керівного нормативного документу України</t>
  </si>
  <si>
    <t>Нове будівництво Базової станції «Зміїний» Берегової радіостанції морського району А1 Глобальної морської системи зв’язку під час лиха та для забезпечення безпеки мореплавства, за адресою: с. Біле, о. Зміїний, Кілійського району, Одеської області</t>
  </si>
  <si>
    <t>Поставка, монтаж та налаштування обладнання згідно  проектної документації на об’єкт: Будівництво Базової станції «Бердянськ» Берегової радіостанції морського району А1 ГМЗЛБ м. Бердянськ</t>
  </si>
  <si>
    <t>Реконструкція чотирьох поверхової будівлі  Морського рятувального підцентру КП "МПРС" загальною площею 731 м.кв. за адресою: вул.Горького, 12, м.Бердянськ Запорізької області</t>
  </si>
  <si>
    <t>Аварійно-рятувальне майно, судновий інвентар</t>
  </si>
  <si>
    <t>Поставка, монтаж та налаштування обладнання згідно проектної документації на об’єкт: Технічне переоснащення Базової станції «В.Фонтан» Берегової радіостанції морського району А1, А2 ГМЗЛБ м. Одеса за адресою: м. Одеса, пров. Маячний, 5 (мис Великий Фонтан, територія ДУ «Держгідрографія»)</t>
  </si>
  <si>
    <t>.-невідшкодований ПДВ</t>
  </si>
  <si>
    <t>.-пільгові пенсії</t>
  </si>
  <si>
    <t xml:space="preserve"> .-Витрати, пов'язані з підготовкою до продажі необоротних активів
</t>
  </si>
  <si>
    <t>.-Витрати на представництво міжнародним адвокатом</t>
  </si>
  <si>
    <r>
      <t xml:space="preserve">Доходи по залишкам на поточних рахунках та дохід від реалізації іноземної валюти, а також доходи від компенсації витрат по договору з військовою частиною №1485. </t>
    </r>
    <r>
      <rPr>
        <i/>
        <sz val="11"/>
        <rFont val="Times New Roman"/>
        <family val="1"/>
        <charset val="204"/>
      </rPr>
      <t>Доходи оподаткованої діяльності</t>
    </r>
  </si>
  <si>
    <t>дохід від безоплатно одержаних активів (основні засоби та нематеріальні активи, куплені за кошти цільового фінансування)</t>
  </si>
  <si>
    <t>Розробка та експертиза проектної документації на об’єкт: Будівництво Базової станції «Бердянськ» Берегової радіостанції морського району А1 ГМЗЛБ м. Бердянськ</t>
  </si>
  <si>
    <t>Інші необоротні матеріальні активи, необхідні для функціонування підприємства, у тому числі згідно норм охорони праці</t>
  </si>
  <si>
    <t>Підписка на періодичні видання. Витрати цільового фінансування</t>
  </si>
  <si>
    <t>Проект будівництва розміщення об'єктів ГМЗЛБ - забезпечення безпеки мореплавства, що передбачена Стратегічним планом розвитку КП "МПРС" на 2017-2021 роки, затвердженим наказом МІУ № 413 від 30.11.2017р. 
У 2019 році заплановано отримання проектно-кошторисної документації</t>
  </si>
  <si>
    <t>Експертиза проектної документації на об’єкт: Будівництво Базової станції «Бердянськ» Берегової радіостанції морського району А1 ГМЗЛБ м. Бердянськ</t>
  </si>
  <si>
    <t>Проведення повторної еспертизи проектної документації</t>
  </si>
  <si>
    <t>Реконструкція чотирьох поверхової будівлі  Морського рятувального підцентру КП "МПРС"  за адресою: вул.Горького, 12, м.Бердянськ Запорізької області</t>
  </si>
  <si>
    <t>Державна служба морського та річкового транспорту України</t>
  </si>
  <si>
    <t>Будівництво мережі водопостачання та водовідведення для будівлі м.Бердянськ, вул.Горького, 12 (проект)</t>
  </si>
  <si>
    <t>Будівництво мереж зовнішнього електропостачання для будівлі в м.Бердянськ, вул.Горького, 12 (проект)</t>
  </si>
  <si>
    <t>1086/10</t>
  </si>
  <si>
    <t>.- витрати, пов'язані з врегулюванням питань стосовно суден Орел, Гриф, Леопард</t>
  </si>
  <si>
    <t xml:space="preserve">інші витрати </t>
  </si>
  <si>
    <t>Toyota Camry</t>
  </si>
  <si>
    <t>3240/1</t>
  </si>
  <si>
    <t>3240/2</t>
  </si>
  <si>
    <t>доходи від здачі в оренду майна</t>
  </si>
  <si>
    <t>Реконструкція трансформаторної підстанції №4796, розташованої в с.Олександрівка, вул.Судоремонтна, 33 (проект)</t>
  </si>
  <si>
    <t>Ремонт плавпричалу ПРП-52 мс</t>
  </si>
  <si>
    <t>1073/1/3</t>
  </si>
  <si>
    <t>Дохід від безоплатно отриманих оборотних активів</t>
  </si>
  <si>
    <t>Капітальний ремонт</t>
  </si>
  <si>
    <t>Інструментальне обстеження та розрахунок несучої здатності будівлі складу за адресою м. Чорноморськ, сел. Олександрівка, вул. Судноремонтна, 33.</t>
  </si>
  <si>
    <t xml:space="preserve">Проект благоустрою приглеглої території  та зовнішніх інженерних мереж  будівлі МРПЦ КП "МПРС"( м. Бердянськ, вул. Горького 12) </t>
  </si>
  <si>
    <t>інші джерела  (кошти цільового фінансування на розвиток системи пошуку та рятування)</t>
  </si>
  <si>
    <t xml:space="preserve">Нове будівництво Базової станції «Лазурне» Берегової радіостанції морського району А1 Глобальної морської системи зв’язку під час лиха та для забезпечення безпеки мореплавства, за адресою: смт Лазурне, Скададовського району Херсонської області </t>
  </si>
  <si>
    <t xml:space="preserve">Нове будівництво Базової станції «Кирилівка» Берегової радіостанції морського району А1 Глобальної морської системи зв’язку під час лиха та для забезпечення безпеки мореплавства, за адресою: смт Кирилівка, Якимівського району Запорізької області </t>
  </si>
  <si>
    <t>Нове будівництво Базової станції «Миколаївка» Берегової радіостанції морського району А1 Глобальної морської системи зв’язку під час лиха та для забезпечення безпеки мореплавства, за адресою: с. Миколаївка, Білгород-Дністровського району Одеської області</t>
  </si>
  <si>
    <t>Плановий 2019 рік до факту 2018 року, %</t>
  </si>
  <si>
    <t>2017-2021</t>
  </si>
  <si>
    <t>3070/1</t>
  </si>
  <si>
    <t>3070/2</t>
  </si>
  <si>
    <t>3070/2/1</t>
  </si>
  <si>
    <t>3070/2/2</t>
  </si>
  <si>
    <t>3070/2/3</t>
  </si>
  <si>
    <t>3070/3</t>
  </si>
  <si>
    <t>3070/4</t>
  </si>
  <si>
    <t>3070/5</t>
  </si>
  <si>
    <t>3156/1</t>
  </si>
  <si>
    <t>3156/2</t>
  </si>
  <si>
    <t>3157/2</t>
  </si>
  <si>
    <t>3157/4</t>
  </si>
  <si>
    <t>3157/5</t>
  </si>
  <si>
    <t>3157/7</t>
  </si>
  <si>
    <t>3157/8</t>
  </si>
  <si>
    <t>Виручка від реалізації фінансових інвестицій, у тому числі:</t>
  </si>
  <si>
    <t>Надходження від отриманих відсотків</t>
  </si>
  <si>
    <t>Надходження дивідендів</t>
  </si>
  <si>
    <t>Надходження від деривативів</t>
  </si>
  <si>
    <t>Витрачання на придбання фінансових інвестицій, у тому числі:</t>
  </si>
  <si>
    <t>витрачання на придбання акцій та облігацій</t>
  </si>
  <si>
    <t>Витрачання на придбання необоротних активів, у тому числі:</t>
  </si>
  <si>
    <t>3270/1/1</t>
  </si>
  <si>
    <t>3270/1/2</t>
  </si>
  <si>
    <t>3270/1/3</t>
  </si>
  <si>
    <t>3270/1/4</t>
  </si>
  <si>
    <t>3270/1/5</t>
  </si>
  <si>
    <t>3270/1/6</t>
  </si>
  <si>
    <t>3270/1/7</t>
  </si>
  <si>
    <t>3270/1/8</t>
  </si>
  <si>
    <t>3270/1/9</t>
  </si>
  <si>
    <t>3270/1/10</t>
  </si>
  <si>
    <t>3270/1/11</t>
  </si>
  <si>
    <t>3270/1/12</t>
  </si>
  <si>
    <t>3270/1/13</t>
  </si>
  <si>
    <t>3270/1/14</t>
  </si>
  <si>
    <t>3270/1/15</t>
  </si>
  <si>
    <t>3270/1/16</t>
  </si>
  <si>
    <t>3270/1/17</t>
  </si>
  <si>
    <t>3270/1/18</t>
  </si>
  <si>
    <t>3270/1/19</t>
  </si>
  <si>
    <t>3270/1/20</t>
  </si>
  <si>
    <t>3270/1/21</t>
  </si>
  <si>
    <t>3270/1/22</t>
  </si>
  <si>
    <t>3270/1/23</t>
  </si>
  <si>
    <t>3270/2/1</t>
  </si>
  <si>
    <t>3270/2/2</t>
  </si>
  <si>
    <t>3270/2/3</t>
  </si>
  <si>
    <t>3270/2/4</t>
  </si>
  <si>
    <t>3270/2/5</t>
  </si>
  <si>
    <t>3270/2/6</t>
  </si>
  <si>
    <t>3270/2/7</t>
  </si>
  <si>
    <t>3270/2/8</t>
  </si>
  <si>
    <t>3270/2/9</t>
  </si>
  <si>
    <t>3270/2/10</t>
  </si>
  <si>
    <t>3270/2/11</t>
  </si>
  <si>
    <t>3270/2/12</t>
  </si>
  <si>
    <t>3270/2/13</t>
  </si>
  <si>
    <t>3270/2/14</t>
  </si>
  <si>
    <t>3270/2/15</t>
  </si>
  <si>
    <t>3270/2/16</t>
  </si>
  <si>
    <t>3270/2/17</t>
  </si>
  <si>
    <t>3270/2/18</t>
  </si>
  <si>
    <t>3270/2/19</t>
  </si>
  <si>
    <t>3270/03</t>
  </si>
  <si>
    <t>3270/3/1</t>
  </si>
  <si>
    <t>3270/3/2</t>
  </si>
  <si>
    <t>3270/3/3</t>
  </si>
  <si>
    <t>3270/4</t>
  </si>
  <si>
    <t>3270/4/1</t>
  </si>
  <si>
    <t>3270/4/2</t>
  </si>
  <si>
    <t>3270/4/3</t>
  </si>
  <si>
    <t>3270/4/4</t>
  </si>
  <si>
    <t>3270/4/5</t>
  </si>
  <si>
    <t>3270/4/6</t>
  </si>
  <si>
    <t>3270/4/7</t>
  </si>
  <si>
    <t>3270/4/8</t>
  </si>
  <si>
    <t>3270/4/9</t>
  </si>
  <si>
    <t>3270/4/10</t>
  </si>
  <si>
    <t>3270/4/11</t>
  </si>
  <si>
    <t>3270/4/12</t>
  </si>
  <si>
    <t>3270/4/13</t>
  </si>
  <si>
    <t>Виплати за деривативами</t>
  </si>
  <si>
    <t>3280</t>
  </si>
  <si>
    <t>3290</t>
  </si>
  <si>
    <t xml:space="preserve">витрачання грошових коштів від фінансової діяльності </t>
  </si>
  <si>
    <t>Витрачення на сплату відсотків</t>
  </si>
  <si>
    <t>Витрачення на сплату заборгованості з фінансової оренди</t>
  </si>
  <si>
    <t>Інші платежі (розшифрувати)</t>
  </si>
  <si>
    <t>Розробка та експертиза проектної документації на об’єкт: Нове будівництво Базової станції «Лазурне» Берегової радіостанції морського району А1 Глобальної морської системи зв’язку під час лиха та для забезпечення безпеки мореплавства, за адресою: смт Лазурне, Скададовського району Херсонської області</t>
  </si>
  <si>
    <t>Розробка та експертиза проектної документації на об’єкт: Нове будівництво Базової станції «Кирилівка» Берегової радіостанції морського району А1 Глобальної морської системи зв’язку під час лиха та для забезпечення безпеки мореплавства, за адресою: смт Кирилівка, Якимівського району Запорізької області</t>
  </si>
  <si>
    <t>Розробка та експертиза проектної документації на об’єкт: Нове будівництво Базової станції «Миколаївка» Берегової радіостанції морського району А1 Глобальної морської системи зв’язку під час лиха та для забезпечення безпеки мореплавства, за адресою: с. Миколаївка, Білгород-Дністровського району Одеської області</t>
  </si>
  <si>
    <t>Прогноз 2018 року</t>
  </si>
  <si>
    <t xml:space="preserve">Витрати на а/м «Toyota Camry» у сумі 30 тис. грн. перенесені до адміністративних витрат, у зв’язку з передачею а/м для експлуатації до підрозділів КП «МПРС», що знаходяться у м. Київ. Зменшені витрати на дизельне паливо наливом для ПРК у зв’язку із зменшенням середнього часу навчально-тренувальних заходів пошуково-рятувального флоту від максимальної тривалості, що була закладена в попередній розрахунок витрат.   </t>
  </si>
  <si>
    <t>За результатами торгів скорочено витрати на технічне обслуговування та опосвідчення аварійно-рятувального майна і витрати на технічне обслуговування та ремонт автотранспортних засобів на 470 тис. грн. та на 48 тис. грн. відповідно; у зв’язку із відсутністю необхідних часів нароботки механізмів скорочено витрати на технічне обслуговування генераторів та двигунів маломірних човнів на загальну суму 60 тис. грн. Витрати на технічне обслуговування ПРК-06 (1960 рік будування) збільшено на 175 тис. грн.</t>
  </si>
  <si>
    <t>У зв’язку з уточненням періоду введення в експлуатацію основних засобів скориговано планові показники сум амортизаційних відрахувань.</t>
  </si>
  <si>
    <t xml:space="preserve">У зв’язку із запланованим закінченням реконструкції будівлі МРПЦ  у 1 кварталі 2020 р. додані 195 тис. грн. на продовження оренди приміщення у м. Бердянськ у 4 кварталі 2019 р. для розміщення МПРЦ.  Фінансовим планом на 2019 рік були заплановані витрати на розміщення ПРК-04 та екіпажу в смт Затока, економія коштів відповідно до укладеного у 1 кв. 2019 р. щодо розміщення ПРК-04 складає 143 тис. грн. </t>
  </si>
  <si>
    <t>Скорочені витрати на міжнародні відрядження. Делегація КП «МПРС» на 101 чергову сесію Комітету з безпеки на морі, IMO – 5-14 червня 2019 року, м. Лондон, Великобританія, буде скорочена</t>
  </si>
  <si>
    <r>
      <t xml:space="preserve">Скорочено витрати на користування каналами передачі даних через відтермінування введення в експлуатацію нових об’єктів будівництва. </t>
    </r>
    <r>
      <rPr>
        <i/>
        <sz val="11"/>
        <rFont val="Times New Roman"/>
        <family val="1"/>
        <charset val="204"/>
      </rPr>
      <t xml:space="preserve">Витрати цільового фінансування </t>
    </r>
  </si>
  <si>
    <t>Видалено витрати на навчання ІТ спеціалістів</t>
  </si>
  <si>
    <t xml:space="preserve">У зв’язку із поданням для участі в торгах менше двох тендерних пропозицій відкриті торги щодо закупівлі послуг із страхування не відбулися </t>
  </si>
  <si>
    <t xml:space="preserve">Витрати скориговані відповідно до укладених у 1 кварталі 2019 договорів </t>
  </si>
  <si>
    <t xml:space="preserve">Витрати цільового фінансування </t>
  </si>
  <si>
    <t xml:space="preserve">Витрати збільшені у зв’язку із коригуванням графіку виходу р/с «Сапфір» та зменшенням виходу судна  за санітарну зону </t>
  </si>
  <si>
    <t>На 100 тис.грн. скорочено витрати на отримання та реалізацію технічних умов по приєднанню електроустановок для БС «В.Фонтан», у звязку із зміною режиму спостереження за суднами усіх прапорів скорочено витрати на обмін даних ДІКМС на 106 тис. грн., на 21 тис.грн. скорочено витрати на гісметеопослуги, на 100тис.грн. скорочено витрати на проведення метрологічних робіт. Разом з тим додано 87тис.грн. на розробку та уточнення норм витрат палива для ПРК</t>
  </si>
  <si>
    <t>в 4 кварталі планується зменшення витрат на рентну плату за використання радіочастотного ресурсу внаслідок одночасної заміни РЛВ на АІС САРТ на всіх плавзасобах та оновлення суднових ліцензій.</t>
  </si>
  <si>
    <t>Витрати на а/м «Toyota Camry» перенесені до адмін. витрат, у зв’язку з передачею а/м для експлуатації до підрозділів КП «МПРС», що знаходяться у м. Київ</t>
  </si>
  <si>
    <t>У зв’язку із відсутніоті потреби скасовано відрядження працівників для участі в 106-ій черговій сесії Комітету з юридичних питань, Міжнародна морська організація.</t>
  </si>
  <si>
    <t>У зв’язку із уточненням періоду введення в експлуатацію основних засобів скориговано планові показники сум амортизаційних відрахувань.</t>
  </si>
  <si>
    <t>У зв’язку із достроковим припиненням договору оренди приміщення у будівлі Мінінфраструктури м.Київ скорочено витрати на 127 тис. грн., у зв’язку з підписанням нового договору оренди офісних приміщень у м.Одеса витрати зменшені на 575тис.грн.</t>
  </si>
  <si>
    <t xml:space="preserve">У зв’язку із достроковим припиненням договору оренди приміщення у будівлі Мінінфраструктури м.Київ скорочено витрати на відшкодування витрат. </t>
  </si>
  <si>
    <t>У зв’язку із зміною Уповноваженого органу управління  припинений договір на надання послуг з користування системою ІАЛСМРТ, витрати скорочено на 122 тис. грн. Відсутність потреби у доробці та супроводження системи 1С скорочено витрати на 180 тис. грн.</t>
  </si>
  <si>
    <t>Через наявну виробничу потребу збільшено витрати на копіювально-розмножувальні послуги.</t>
  </si>
  <si>
    <t>Витрати скориговано виходячи із отриманих моніторингів на виконання послуг з оцінки вартості плавзасобів та автотранспорту, що підлягають відчуженню</t>
  </si>
  <si>
    <t>Додано витрати у сумі 550 тис.грн. на юридичні послуги, пов’язані з проведенням правової експертизи документів та надання юридичної консультації у формі письмового юридичного висновку у галузі міжнародного морського права щодо суден «Орел» та «Гриф» із визначенням можливих шляхів та стратегії правового захисту інтересів КП «МПРС». Витрати у сумі 550 тис. грн. на проведення сюрвеєрського обстеження суден «Орел», «Гриф» та «Леопард» перенесено з статті інших витрат 1086/5</t>
  </si>
  <si>
    <t>Т.в.о. директора</t>
  </si>
  <si>
    <t>Р.М. Мікрух</t>
  </si>
  <si>
    <t>Погоджено</t>
  </si>
  <si>
    <t>Заступник директора з пошуку та рятування</t>
  </si>
  <si>
    <t>Дубін С.А.</t>
  </si>
  <si>
    <t>Заступник директора з операційної діяльності</t>
  </si>
  <si>
    <t>Купрій А.А.</t>
  </si>
  <si>
    <t>Начальник філії "Чорноморська філія"</t>
  </si>
  <si>
    <t>Леонтьєв І.Г.</t>
  </si>
  <si>
    <t>Головний бухгалтер</t>
  </si>
  <si>
    <t>Опаріна Т.А.</t>
  </si>
  <si>
    <t>Начальник відділу економічного планування та прогнозування</t>
  </si>
  <si>
    <t>Навала Т.В.</t>
  </si>
  <si>
    <t>Підготовлено</t>
  </si>
  <si>
    <t>Модернізація житлового модулю</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</si>
</sst>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_-* #,##0.00\ _₽_-;\-* #,##0.00\ _₽_-;_-* &quot;-&quot;??\ _₽_-;_-@_-"/>
    <numFmt numFmtId="165" formatCode="#,##0&quot;р.&quot;;[Red]\-#,##0&quot;р.&quot;"/>
    <numFmt numFmtId="166" formatCode="#,##0.00&quot;р.&quot;;\-#,##0.00&quot;р.&quot;"/>
    <numFmt numFmtId="167" formatCode="_-* #,##0.00_р_._-;\-* #,##0.00_р_._-;_-* &quot;-&quot;??_р_._-;_-@_-"/>
    <numFmt numFmtId="168" formatCode="_-* #,##0.00\ _г_р_н_._-;\-* #,##0.00\ _г_р_н_._-;_-* &quot;-&quot;??\ _г_р_н_._-;_-@_-"/>
    <numFmt numFmtId="169" formatCode="_-* #,##0.00_₴_-;\-* #,##0.00_₴_-;_-* &quot;-&quot;??_₴_-;_-@_-"/>
    <numFmt numFmtId="170" formatCode="0.0"/>
    <numFmt numFmtId="171" formatCode="#,##0.0"/>
    <numFmt numFmtId="172" formatCode="###\ ##0.000"/>
    <numFmt numFmtId="173" formatCode="_(&quot;$&quot;* #,##0.00_);_(&quot;$&quot;* \(#,##0.00\);_(&quot;$&quot;* &quot;-&quot;??_);_(@_)"/>
    <numFmt numFmtId="174" formatCode="_(* #,##0_);_(* \(#,##0\);_(* &quot;-&quot;_);_(@_)"/>
    <numFmt numFmtId="175" formatCode="_(* #,##0.00_);_(* \(#,##0.00\);_(* &quot;-&quot;??_);_(@_)"/>
    <numFmt numFmtId="176" formatCode="#,##0.0_ ;[Red]\-#,##0.0\ "/>
    <numFmt numFmtId="177" formatCode="0.0;\(0.0\);\ ;\-"/>
    <numFmt numFmtId="178" formatCode="_(* #,##0.0_);_(* \(#,##0.0\);_(* &quot;-&quot;??_);_(@_)"/>
    <numFmt numFmtId="179" formatCode="_(* #,##0_);_(* \(#,##0\);_(* &quot;-&quot;??_);_(@_)"/>
    <numFmt numFmtId="180" formatCode="_(* #,##0.0_);_(* \(#,##0.0\);_(* &quot;-&quot;_);_(@_)"/>
    <numFmt numFmtId="181" formatCode="_(* #,##0.00_);_(* \(#,##0.00\);_(* &quot;-&quot;_);_(@_)"/>
    <numFmt numFmtId="182" formatCode="_-* #,##0.0_р_._-;\-* #,##0.0_р_._-;_-* &quot;-&quot;?_р_._-;_-@_-"/>
    <numFmt numFmtId="183" formatCode="_-* #,##0.0\ _₴_-;\-* #,##0.0\ _₴_-;_-* &quot;-&quot;?\ _₴_-;_-@_-"/>
  </numFmts>
  <fonts count="10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Cyr"/>
      <charset val="204"/>
    </font>
    <font>
      <b/>
      <sz val="14"/>
      <name val="Times New Roman"/>
      <family val="1"/>
      <charset val="204"/>
    </font>
    <font>
      <sz val="14"/>
      <name val="Times New Roman"/>
      <family val="1"/>
      <charset val="204"/>
    </font>
    <font>
      <u/>
      <sz val="14"/>
      <name val="Times New Roman"/>
      <family val="1"/>
      <charset val="204"/>
    </font>
    <font>
      <i/>
      <sz val="14"/>
      <name val="Times New Roman"/>
      <family val="1"/>
      <charset val="204"/>
    </font>
    <font>
      <i/>
      <u/>
      <sz val="14"/>
      <name val="Times New Roman"/>
      <family val="1"/>
      <charset val="204"/>
    </font>
    <font>
      <b/>
      <i/>
      <sz val="14"/>
      <name val="Times New Roman"/>
      <family val="1"/>
      <charset val="204"/>
    </font>
    <font>
      <sz val="13"/>
      <name val="Times New Roman"/>
      <family val="1"/>
      <charset val="204"/>
    </font>
    <font>
      <b/>
      <sz val="13"/>
      <name val="Times New Roman"/>
      <family val="1"/>
      <charset val="204"/>
    </font>
    <font>
      <sz val="12"/>
      <name val="Times New Roman"/>
      <family val="1"/>
      <charset val="204"/>
    </font>
    <font>
      <sz val="8"/>
      <name val="Arial"/>
      <family val="2"/>
    </font>
    <font>
      <sz val="10"/>
      <name val="Times New Roman"/>
      <family val="1"/>
      <charset val="204"/>
    </font>
    <font>
      <sz val="10"/>
      <name val="Arial"/>
      <family val="2"/>
      <charset val="204"/>
    </font>
    <font>
      <sz val="10"/>
      <name val="Arial Cyr"/>
      <family val="2"/>
      <charset val="204"/>
    </font>
    <font>
      <sz val="14"/>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1"/>
      <color indexed="8"/>
      <name val="Arial Cyr"/>
      <family val="2"/>
      <charset val="204"/>
    </font>
    <font>
      <sz val="11"/>
      <color indexed="9"/>
      <name val="Arial Cyr"/>
      <family val="2"/>
      <charset val="204"/>
    </font>
    <font>
      <b/>
      <sz val="12"/>
      <name val="Arial"/>
      <family val="2"/>
      <charset val="204"/>
    </font>
    <font>
      <sz val="10"/>
      <name val="FreeSet"/>
      <family val="2"/>
    </font>
    <font>
      <u/>
      <sz val="10"/>
      <color indexed="12"/>
      <name val="Arial"/>
      <family val="2"/>
      <charset val="204"/>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b/>
      <sz val="10"/>
      <name val="Arial"/>
      <family val="2"/>
      <charset val="204"/>
    </font>
    <font>
      <sz val="11"/>
      <color indexed="62"/>
      <name val="Arial Cyr"/>
      <family val="2"/>
      <charset val="204"/>
    </font>
    <font>
      <b/>
      <sz val="11"/>
      <color indexed="63"/>
      <name val="Arial Cyr"/>
      <family val="2"/>
      <charset val="204"/>
    </font>
    <font>
      <b/>
      <sz val="11"/>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1"/>
      <color indexed="8"/>
      <name val="Arial Cyr"/>
      <family val="2"/>
      <charset val="204"/>
    </font>
    <font>
      <b/>
      <sz val="11"/>
      <color indexed="9"/>
      <name val="Arial Cyr"/>
      <family val="2"/>
      <charset val="204"/>
    </font>
    <font>
      <sz val="11"/>
      <color indexed="60"/>
      <name val="Arial Cyr"/>
      <family val="2"/>
      <charset val="204"/>
    </font>
    <font>
      <sz val="11"/>
      <color indexed="20"/>
      <name val="Arial Cyr"/>
      <family val="2"/>
      <charset val="204"/>
    </font>
    <font>
      <i/>
      <sz val="11"/>
      <color indexed="23"/>
      <name val="Arial Cyr"/>
      <family val="2"/>
      <charset val="204"/>
    </font>
    <font>
      <sz val="12"/>
      <name val="Arial Cyr"/>
      <family val="2"/>
      <charset val="204"/>
    </font>
    <font>
      <sz val="11"/>
      <color indexed="52"/>
      <name val="Arial Cyr"/>
      <family val="2"/>
      <charset val="204"/>
    </font>
    <font>
      <sz val="10"/>
      <name val="Helv"/>
    </font>
    <font>
      <sz val="11"/>
      <color indexed="10"/>
      <name val="Arial Cyr"/>
      <family val="2"/>
      <charset val="204"/>
    </font>
    <font>
      <sz val="12"/>
      <name val="Journal"/>
    </font>
    <font>
      <sz val="11"/>
      <color indexed="17"/>
      <name val="Arial Cyr"/>
      <family val="2"/>
      <charset val="204"/>
    </font>
    <font>
      <sz val="10"/>
      <name val="Tahoma"/>
      <family val="2"/>
      <charset val="204"/>
    </font>
    <font>
      <sz val="10"/>
      <name val="Petersburg"/>
    </font>
    <font>
      <b/>
      <u/>
      <sz val="14"/>
      <name val="Times New Roman"/>
      <family val="1"/>
      <charset val="204"/>
    </font>
    <font>
      <sz val="10"/>
      <name val="Arial"/>
      <family val="2"/>
      <charset val="1"/>
    </font>
    <font>
      <b/>
      <sz val="18"/>
      <name val="Times New Roman"/>
      <family val="1"/>
      <charset val="204"/>
    </font>
    <font>
      <sz val="18"/>
      <name val="Times New Roman"/>
      <family val="1"/>
      <charset val="204"/>
    </font>
    <font>
      <sz val="11"/>
      <color theme="1"/>
      <name val="Calibri"/>
      <family val="2"/>
      <charset val="204"/>
      <scheme val="minor"/>
    </font>
    <font>
      <sz val="11"/>
      <color theme="1"/>
      <name val="Calibri"/>
      <family val="2"/>
      <scheme val="minor"/>
    </font>
    <font>
      <sz val="14"/>
      <color theme="0"/>
      <name val="Times New Roman"/>
      <family val="1"/>
      <charset val="204"/>
    </font>
    <font>
      <b/>
      <sz val="14"/>
      <color theme="0"/>
      <name val="Times New Roman"/>
      <family val="1"/>
      <charset val="204"/>
    </font>
    <font>
      <sz val="14"/>
      <color rgb="FFFF0000"/>
      <name val="Times New Roman"/>
      <family val="1"/>
      <charset val="204"/>
    </font>
    <font>
      <sz val="14"/>
      <color rgb="FF000000"/>
      <name val="Times New Roman"/>
      <family val="1"/>
      <charset val="204"/>
    </font>
    <font>
      <sz val="14"/>
      <color theme="1"/>
      <name val="Times New Roman"/>
      <family val="1"/>
      <charset val="204"/>
    </font>
    <font>
      <b/>
      <sz val="14"/>
      <color theme="1"/>
      <name val="Times New Roman"/>
      <family val="1"/>
      <charset val="204"/>
    </font>
    <font>
      <b/>
      <sz val="16"/>
      <color rgb="FFFF0000"/>
      <name val="Times New Roman"/>
      <family val="1"/>
      <charset val="204"/>
    </font>
    <font>
      <b/>
      <sz val="14"/>
      <color rgb="FFFF0000"/>
      <name val="Times New Roman"/>
      <family val="1"/>
      <charset val="204"/>
    </font>
    <font>
      <sz val="14"/>
      <color theme="5" tint="-0.249977111117893"/>
      <name val="Times New Roman"/>
      <family val="1"/>
      <charset val="204"/>
    </font>
    <font>
      <sz val="14"/>
      <color rgb="FF92D050"/>
      <name val="Times New Roman"/>
      <family val="1"/>
      <charset val="204"/>
    </font>
    <font>
      <sz val="12"/>
      <color theme="0"/>
      <name val="Times New Roman"/>
      <family val="1"/>
      <charset val="204"/>
    </font>
    <font>
      <b/>
      <sz val="12"/>
      <color theme="0"/>
      <name val="Times New Roman"/>
      <family val="1"/>
      <charset val="204"/>
    </font>
    <font>
      <sz val="11"/>
      <color rgb="FF000000"/>
      <name val="Times New Roman"/>
      <family val="1"/>
      <charset val="204"/>
    </font>
    <font>
      <sz val="11"/>
      <name val="Times New Roman"/>
      <family val="1"/>
      <charset val="204"/>
    </font>
    <font>
      <i/>
      <sz val="11"/>
      <name val="Times New Roman"/>
      <family val="1"/>
      <charset val="204"/>
    </font>
    <font>
      <sz val="11"/>
      <color theme="1"/>
      <name val="Times New Roman"/>
      <family val="1"/>
      <charset val="204"/>
    </font>
    <font>
      <b/>
      <sz val="11"/>
      <name val="Times New Roman"/>
      <family val="1"/>
      <charset val="204"/>
    </font>
    <font>
      <sz val="12"/>
      <color rgb="FF000000"/>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44"/>
        <bgColor indexed="64"/>
      </patternFill>
    </fill>
    <fill>
      <patternFill patternType="solid">
        <fgColor indexed="26"/>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double">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s>
  <cellStyleXfs count="563">
    <xf numFmtId="0" fontId="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9" fillId="2" borderId="0" applyNumberFormat="0" applyBorder="0" applyAlignment="0" applyProtection="0"/>
    <xf numFmtId="0" fontId="5" fillId="2" borderId="0" applyNumberFormat="0" applyBorder="0" applyAlignment="0" applyProtection="0"/>
    <xf numFmtId="0" fontId="39" fillId="3" borderId="0" applyNumberFormat="0" applyBorder="0" applyAlignment="0" applyProtection="0"/>
    <xf numFmtId="0" fontId="5" fillId="3" borderId="0" applyNumberFormat="0" applyBorder="0" applyAlignment="0" applyProtection="0"/>
    <xf numFmtId="0" fontId="39" fillId="4" borderId="0" applyNumberFormat="0" applyBorder="0" applyAlignment="0" applyProtection="0"/>
    <xf numFmtId="0" fontId="5" fillId="4" borderId="0" applyNumberFormat="0" applyBorder="0" applyAlignment="0" applyProtection="0"/>
    <xf numFmtId="0" fontId="39" fillId="5" borderId="0" applyNumberFormat="0" applyBorder="0" applyAlignment="0" applyProtection="0"/>
    <xf numFmtId="0" fontId="5" fillId="5" borderId="0" applyNumberFormat="0" applyBorder="0" applyAlignment="0" applyProtection="0"/>
    <xf numFmtId="0" fontId="39" fillId="6" borderId="0" applyNumberFormat="0" applyBorder="0" applyAlignment="0" applyProtection="0"/>
    <xf numFmtId="0" fontId="5" fillId="6" borderId="0" applyNumberFormat="0" applyBorder="0" applyAlignment="0" applyProtection="0"/>
    <xf numFmtId="0" fontId="39"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9" fillId="8" borderId="0" applyNumberFormat="0" applyBorder="0" applyAlignment="0" applyProtection="0"/>
    <xf numFmtId="0" fontId="5" fillId="8" borderId="0" applyNumberFormat="0" applyBorder="0" applyAlignment="0" applyProtection="0"/>
    <xf numFmtId="0" fontId="39" fillId="9" borderId="0" applyNumberFormat="0" applyBorder="0" applyAlignment="0" applyProtection="0"/>
    <xf numFmtId="0" fontId="5" fillId="9" borderId="0" applyNumberFormat="0" applyBorder="0" applyAlignment="0" applyProtection="0"/>
    <xf numFmtId="0" fontId="39" fillId="10" borderId="0" applyNumberFormat="0" applyBorder="0" applyAlignment="0" applyProtection="0"/>
    <xf numFmtId="0" fontId="5" fillId="10" borderId="0" applyNumberFormat="0" applyBorder="0" applyAlignment="0" applyProtection="0"/>
    <xf numFmtId="0" fontId="39" fillId="5" borderId="0" applyNumberFormat="0" applyBorder="0" applyAlignment="0" applyProtection="0"/>
    <xf numFmtId="0" fontId="5" fillId="5" borderId="0" applyNumberFormat="0" applyBorder="0" applyAlignment="0" applyProtection="0"/>
    <xf numFmtId="0" fontId="39" fillId="8" borderId="0" applyNumberFormat="0" applyBorder="0" applyAlignment="0" applyProtection="0"/>
    <xf numFmtId="0" fontId="5" fillId="8" borderId="0" applyNumberFormat="0" applyBorder="0" applyAlignment="0" applyProtection="0"/>
    <xf numFmtId="0" fontId="39"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0" fillId="12" borderId="0" applyNumberFormat="0" applyBorder="0" applyAlignment="0" applyProtection="0"/>
    <xf numFmtId="0" fontId="22" fillId="12" borderId="0" applyNumberFormat="0" applyBorder="0" applyAlignment="0" applyProtection="0"/>
    <xf numFmtId="0" fontId="40" fillId="9" borderId="0" applyNumberFormat="0" applyBorder="0" applyAlignment="0" applyProtection="0"/>
    <xf numFmtId="0" fontId="22" fillId="9" borderId="0" applyNumberFormat="0" applyBorder="0" applyAlignment="0" applyProtection="0"/>
    <xf numFmtId="0" fontId="40" fillId="10" borderId="0" applyNumberFormat="0" applyBorder="0" applyAlignment="0" applyProtection="0"/>
    <xf numFmtId="0" fontId="22" fillId="10" borderId="0" applyNumberFormat="0" applyBorder="0" applyAlignment="0" applyProtection="0"/>
    <xf numFmtId="0" fontId="40" fillId="13" borderId="0" applyNumberFormat="0" applyBorder="0" applyAlignment="0" applyProtection="0"/>
    <xf numFmtId="0" fontId="22" fillId="13" borderId="0" applyNumberFormat="0" applyBorder="0" applyAlignment="0" applyProtection="0"/>
    <xf numFmtId="0" fontId="40" fillId="14" borderId="0" applyNumberFormat="0" applyBorder="0" applyAlignment="0" applyProtection="0"/>
    <xf numFmtId="0" fontId="22" fillId="14" borderId="0" applyNumberFormat="0" applyBorder="0" applyAlignment="0" applyProtection="0"/>
    <xf numFmtId="0" fontId="40"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3" fillId="3" borderId="0" applyNumberFormat="0" applyBorder="0" applyAlignment="0" applyProtection="0"/>
    <xf numFmtId="0" fontId="25" fillId="20" borderId="1" applyNumberFormat="0" applyAlignment="0" applyProtection="0"/>
    <xf numFmtId="0" fontId="30" fillId="21" borderId="2" applyNumberFormat="0" applyAlignment="0" applyProtection="0"/>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49" fontId="41" fillId="0" borderId="3">
      <alignment horizontal="center" vertical="center"/>
      <protection locked="0"/>
    </xf>
    <xf numFmtId="168" fontId="19" fillId="0" borderId="0" applyFont="0" applyFill="0" applyBorder="0" applyAlignment="0" applyProtection="0"/>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49" fontId="19" fillId="0" borderId="3">
      <alignment horizontal="left" vertical="center"/>
      <protection locked="0"/>
    </xf>
    <xf numFmtId="0" fontId="20" fillId="0" borderId="0"/>
    <xf numFmtId="0" fontId="34" fillId="0" borderId="0" applyNumberFormat="0" applyFill="0" applyBorder="0" applyAlignment="0" applyProtection="0"/>
    <xf numFmtId="172" fontId="42" fillId="0" borderId="0" applyAlignment="0">
      <alignment wrapText="1"/>
    </xf>
    <xf numFmtId="0" fontId="37"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43" fillId="0" borderId="0" applyNumberFormat="0" applyFill="0" applyBorder="0" applyAlignment="0" applyProtection="0">
      <alignment vertical="top"/>
      <protection locked="0"/>
    </xf>
    <xf numFmtId="0" fontId="23" fillId="7" borderId="1" applyNumberFormat="0" applyAlignment="0" applyProtection="0"/>
    <xf numFmtId="49" fontId="19" fillId="0" borderId="0" applyNumberFormat="0" applyFont="0" applyAlignment="0">
      <alignment vertical="top" wrapText="1"/>
      <protection locked="0"/>
    </xf>
    <xf numFmtId="49" fontId="19" fillId="0" borderId="0" applyNumberFormat="0" applyFont="0" applyAlignment="0">
      <alignment vertical="top" wrapText="1"/>
    </xf>
    <xf numFmtId="49" fontId="19" fillId="0" borderId="0" applyNumberFormat="0" applyFont="0" applyAlignment="0">
      <alignment vertical="top" wrapText="1"/>
    </xf>
    <xf numFmtId="49" fontId="19" fillId="0" borderId="0" applyNumberFormat="0" applyFont="0" applyAlignment="0">
      <alignment vertical="top" wrapText="1"/>
      <protection locked="0"/>
    </xf>
    <xf numFmtId="49" fontId="19" fillId="0" borderId="0" applyNumberFormat="0" applyFont="0" applyAlignment="0">
      <alignment vertical="top" wrapText="1"/>
    </xf>
    <xf numFmtId="49" fontId="19" fillId="0" borderId="0" applyNumberFormat="0" applyFont="0" applyAlignment="0">
      <alignment vertical="top" wrapText="1"/>
      <protection locked="0"/>
    </xf>
    <xf numFmtId="49" fontId="19" fillId="0" borderId="0" applyNumberFormat="0" applyFont="0" applyAlignment="0">
      <alignment vertical="top" wrapText="1"/>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19" fillId="0" borderId="0" applyNumberFormat="0" applyFont="0" applyAlignment="0">
      <alignment vertical="top" wrapText="1"/>
      <protection locked="0"/>
    </xf>
    <xf numFmtId="49" fontId="44" fillId="22" borderId="7">
      <alignment horizontal="left" vertical="center"/>
      <protection locked="0"/>
    </xf>
    <xf numFmtId="49" fontId="44" fillId="22" borderId="7">
      <alignment horizontal="left" vertical="center"/>
    </xf>
    <xf numFmtId="4" fontId="44" fillId="22" borderId="7">
      <alignment horizontal="right" vertical="center"/>
      <protection locked="0"/>
    </xf>
    <xf numFmtId="4" fontId="44" fillId="22" borderId="7">
      <alignment horizontal="right" vertical="center"/>
    </xf>
    <xf numFmtId="4" fontId="45" fillId="22" borderId="7">
      <alignment horizontal="right" vertical="center"/>
      <protection locked="0"/>
    </xf>
    <xf numFmtId="49" fontId="46" fillId="22" borderId="3">
      <alignment horizontal="left" vertical="center"/>
      <protection locked="0"/>
    </xf>
    <xf numFmtId="49" fontId="46" fillId="22" borderId="3">
      <alignment horizontal="left" vertical="center"/>
    </xf>
    <xf numFmtId="49" fontId="47" fillId="22" borderId="3">
      <alignment horizontal="left" vertical="center"/>
      <protection locked="0"/>
    </xf>
    <xf numFmtId="49" fontId="47" fillId="22" borderId="3">
      <alignment horizontal="left" vertical="center"/>
    </xf>
    <xf numFmtId="4" fontId="46" fillId="22" borderId="3">
      <alignment horizontal="right" vertical="center"/>
      <protection locked="0"/>
    </xf>
    <xf numFmtId="4" fontId="46" fillId="22" borderId="3">
      <alignment horizontal="right" vertical="center"/>
    </xf>
    <xf numFmtId="4" fontId="48" fillId="22" borderId="3">
      <alignment horizontal="right" vertical="center"/>
      <protection locked="0"/>
    </xf>
    <xf numFmtId="49" fontId="41" fillId="22" borderId="3">
      <alignment horizontal="left" vertical="center"/>
      <protection locked="0"/>
    </xf>
    <xf numFmtId="49" fontId="41" fillId="22" borderId="3">
      <alignment horizontal="left" vertical="center"/>
      <protection locked="0"/>
    </xf>
    <xf numFmtId="49" fontId="41" fillId="22" borderId="3">
      <alignment horizontal="left" vertical="center"/>
    </xf>
    <xf numFmtId="49" fontId="41" fillId="22" borderId="3">
      <alignment horizontal="left" vertical="center"/>
    </xf>
    <xf numFmtId="49" fontId="45" fillId="22" borderId="3">
      <alignment horizontal="left" vertical="center"/>
      <protection locked="0"/>
    </xf>
    <xf numFmtId="49" fontId="45" fillId="22" borderId="3">
      <alignment horizontal="left" vertical="center"/>
    </xf>
    <xf numFmtId="4" fontId="41" fillId="22" borderId="3">
      <alignment horizontal="right" vertical="center"/>
      <protection locked="0"/>
    </xf>
    <xf numFmtId="4" fontId="41" fillId="22" borderId="3">
      <alignment horizontal="right" vertical="center"/>
      <protection locked="0"/>
    </xf>
    <xf numFmtId="4" fontId="41" fillId="22" borderId="3">
      <alignment horizontal="right" vertical="center"/>
    </xf>
    <xf numFmtId="4" fontId="41" fillId="22" borderId="3">
      <alignment horizontal="right" vertical="center"/>
    </xf>
    <xf numFmtId="4" fontId="45" fillId="22" borderId="3">
      <alignment horizontal="right" vertical="center"/>
      <protection locked="0"/>
    </xf>
    <xf numFmtId="49" fontId="49" fillId="22" borderId="3">
      <alignment horizontal="left" vertical="center"/>
      <protection locked="0"/>
    </xf>
    <xf numFmtId="49" fontId="49" fillId="22" borderId="3">
      <alignment horizontal="left" vertical="center"/>
    </xf>
    <xf numFmtId="49" fontId="50" fillId="22" borderId="3">
      <alignment horizontal="left" vertical="center"/>
      <protection locked="0"/>
    </xf>
    <xf numFmtId="49" fontId="50" fillId="22" borderId="3">
      <alignment horizontal="left" vertical="center"/>
    </xf>
    <xf numFmtId="4" fontId="49" fillId="22" borderId="3">
      <alignment horizontal="right" vertical="center"/>
      <protection locked="0"/>
    </xf>
    <xf numFmtId="4" fontId="49" fillId="22" borderId="3">
      <alignment horizontal="right" vertical="center"/>
    </xf>
    <xf numFmtId="4" fontId="51" fillId="22" borderId="3">
      <alignment horizontal="right" vertical="center"/>
      <protection locked="0"/>
    </xf>
    <xf numFmtId="49" fontId="52" fillId="0" borderId="3">
      <alignment horizontal="left" vertical="center"/>
      <protection locked="0"/>
    </xf>
    <xf numFmtId="49" fontId="52" fillId="0" borderId="3">
      <alignment horizontal="left" vertical="center"/>
    </xf>
    <xf numFmtId="49" fontId="53" fillId="0" borderId="3">
      <alignment horizontal="left" vertical="center"/>
      <protection locked="0"/>
    </xf>
    <xf numFmtId="49" fontId="53" fillId="0" borderId="3">
      <alignment horizontal="left" vertical="center"/>
    </xf>
    <xf numFmtId="4" fontId="52" fillId="0" borderId="3">
      <alignment horizontal="right" vertical="center"/>
      <protection locked="0"/>
    </xf>
    <xf numFmtId="4" fontId="52" fillId="0" borderId="3">
      <alignment horizontal="right" vertical="center"/>
    </xf>
    <xf numFmtId="4" fontId="53" fillId="0" borderId="3">
      <alignment horizontal="right" vertical="center"/>
      <protection locked="0"/>
    </xf>
    <xf numFmtId="49" fontId="54" fillId="0" borderId="3">
      <alignment horizontal="left" vertical="center"/>
      <protection locked="0"/>
    </xf>
    <xf numFmtId="49" fontId="54" fillId="0" borderId="3">
      <alignment horizontal="left" vertical="center"/>
    </xf>
    <xf numFmtId="49" fontId="55" fillId="0" borderId="3">
      <alignment horizontal="left" vertical="center"/>
      <protection locked="0"/>
    </xf>
    <xf numFmtId="49" fontId="55" fillId="0" borderId="3">
      <alignment horizontal="left" vertical="center"/>
    </xf>
    <xf numFmtId="4" fontId="54" fillId="0" borderId="3">
      <alignment horizontal="right" vertical="center"/>
      <protection locked="0"/>
    </xf>
    <xf numFmtId="4" fontId="54" fillId="0" borderId="3">
      <alignment horizontal="right" vertical="center"/>
    </xf>
    <xf numFmtId="49" fontId="52" fillId="0" borderId="3">
      <alignment horizontal="left" vertical="center"/>
      <protection locked="0"/>
    </xf>
    <xf numFmtId="49" fontId="53" fillId="0" borderId="3">
      <alignment horizontal="left" vertical="center"/>
      <protection locked="0"/>
    </xf>
    <xf numFmtId="4" fontId="52" fillId="0" borderId="3">
      <alignment horizontal="right" vertical="center"/>
      <protection locked="0"/>
    </xf>
    <xf numFmtId="0" fontId="35" fillId="0" borderId="8" applyNumberFormat="0" applyFill="0" applyAlignment="0" applyProtection="0"/>
    <xf numFmtId="0" fontId="32" fillId="23" borderId="0" applyNumberFormat="0" applyBorder="0" applyAlignment="0" applyProtection="0"/>
    <xf numFmtId="0" fontId="19" fillId="0" borderId="0"/>
    <xf numFmtId="0" fontId="19" fillId="0" borderId="0"/>
    <xf numFmtId="0" fontId="19" fillId="24" borderId="0" applyNumberFormat="0" applyFill="0" applyAlignment="0">
      <alignment horizontal="center"/>
      <protection locked="0"/>
    </xf>
    <xf numFmtId="0" fontId="6" fillId="25" borderId="9" applyNumberFormat="0" applyFont="0" applyAlignment="0" applyProtection="0"/>
    <xf numFmtId="4" fontId="56" fillId="26" borderId="3">
      <alignment horizontal="right" vertical="center"/>
      <protection locked="0"/>
    </xf>
    <xf numFmtId="4" fontId="56" fillId="27" borderId="3">
      <alignment horizontal="right" vertical="center"/>
      <protection locked="0"/>
    </xf>
    <xf numFmtId="4" fontId="56" fillId="28" borderId="3">
      <alignment horizontal="right" vertical="center"/>
      <protection locked="0"/>
    </xf>
    <xf numFmtId="0" fontId="24" fillId="20" borderId="10" applyNumberFormat="0" applyAlignment="0" applyProtection="0"/>
    <xf numFmtId="49" fontId="41" fillId="0" borderId="3">
      <alignment horizontal="left" vertical="center" wrapText="1"/>
      <protection locked="0"/>
    </xf>
    <xf numFmtId="49" fontId="41" fillId="0" borderId="3">
      <alignment horizontal="left" vertical="center" wrapText="1"/>
      <protection locked="0"/>
    </xf>
    <xf numFmtId="0" fontId="77" fillId="0" borderId="0"/>
    <xf numFmtId="0" fontId="31" fillId="0" borderId="0" applyNumberFormat="0" applyFill="0" applyBorder="0" applyAlignment="0" applyProtection="0"/>
    <xf numFmtId="0" fontId="29" fillId="0" borderId="11" applyNumberFormat="0" applyFill="0" applyAlignment="0" applyProtection="0"/>
    <xf numFmtId="0" fontId="36" fillId="0" borderId="0" applyNumberFormat="0" applyFill="0" applyBorder="0" applyAlignment="0" applyProtection="0"/>
    <xf numFmtId="0" fontId="40" fillId="16" borderId="0" applyNumberFormat="0" applyBorder="0" applyAlignment="0" applyProtection="0"/>
    <xf numFmtId="0" fontId="22" fillId="16" borderId="0" applyNumberFormat="0" applyBorder="0" applyAlignment="0" applyProtection="0"/>
    <xf numFmtId="0" fontId="40" fillId="17" borderId="0" applyNumberFormat="0" applyBorder="0" applyAlignment="0" applyProtection="0"/>
    <xf numFmtId="0" fontId="22" fillId="17" borderId="0" applyNumberFormat="0" applyBorder="0" applyAlignment="0" applyProtection="0"/>
    <xf numFmtId="0" fontId="40" fillId="18" borderId="0" applyNumberFormat="0" applyBorder="0" applyAlignment="0" applyProtection="0"/>
    <xf numFmtId="0" fontId="22" fillId="18" borderId="0" applyNumberFormat="0" applyBorder="0" applyAlignment="0" applyProtection="0"/>
    <xf numFmtId="0" fontId="40" fillId="13" borderId="0" applyNumberFormat="0" applyBorder="0" applyAlignment="0" applyProtection="0"/>
    <xf numFmtId="0" fontId="22" fillId="13" borderId="0" applyNumberFormat="0" applyBorder="0" applyAlignment="0" applyProtection="0"/>
    <xf numFmtId="0" fontId="40" fillId="14" borderId="0" applyNumberFormat="0" applyBorder="0" applyAlignment="0" applyProtection="0"/>
    <xf numFmtId="0" fontId="22" fillId="14" borderId="0" applyNumberFormat="0" applyBorder="0" applyAlignment="0" applyProtection="0"/>
    <xf numFmtId="0" fontId="40" fillId="19" borderId="0" applyNumberFormat="0" applyBorder="0" applyAlignment="0" applyProtection="0"/>
    <xf numFmtId="0" fontId="22" fillId="19" borderId="0" applyNumberFormat="0" applyBorder="0" applyAlignment="0" applyProtection="0"/>
    <xf numFmtId="0" fontId="57" fillId="7" borderId="1" applyNumberFormat="0" applyAlignment="0" applyProtection="0"/>
    <xf numFmtId="0" fontId="23" fillId="7" borderId="1" applyNumberFormat="0" applyAlignment="0" applyProtection="0"/>
    <xf numFmtId="0" fontId="58" fillId="20" borderId="10" applyNumberFormat="0" applyAlignment="0" applyProtection="0"/>
    <xf numFmtId="0" fontId="24" fillId="20" borderId="10" applyNumberFormat="0" applyAlignment="0" applyProtection="0"/>
    <xf numFmtId="0" fontId="59" fillId="20" borderId="1" applyNumberFormat="0" applyAlignment="0" applyProtection="0"/>
    <xf numFmtId="0" fontId="25" fillId="20" borderId="1" applyNumberFormat="0" applyAlignment="0" applyProtection="0"/>
    <xf numFmtId="173" fontId="19" fillId="0" borderId="0" applyFont="0" applyFill="0" applyBorder="0" applyAlignment="0" applyProtection="0"/>
    <xf numFmtId="0" fontId="60" fillId="0" borderId="4" applyNumberFormat="0" applyFill="0" applyAlignment="0" applyProtection="0"/>
    <xf numFmtId="0" fontId="26" fillId="0" borderId="4" applyNumberFormat="0" applyFill="0" applyAlignment="0" applyProtection="0"/>
    <xf numFmtId="0" fontId="61" fillId="0" borderId="5" applyNumberFormat="0" applyFill="0" applyAlignment="0" applyProtection="0"/>
    <xf numFmtId="0" fontId="27" fillId="0" borderId="5" applyNumberFormat="0" applyFill="0" applyAlignment="0" applyProtection="0"/>
    <xf numFmtId="0" fontId="62" fillId="0" borderId="6" applyNumberFormat="0" applyFill="0" applyAlignment="0" applyProtection="0"/>
    <xf numFmtId="0" fontId="28" fillId="0" borderId="6" applyNumberFormat="0" applyFill="0" applyAlignment="0" applyProtection="0"/>
    <xf numFmtId="0" fontId="62" fillId="0" borderId="0" applyNumberFormat="0" applyFill="0" applyBorder="0" applyAlignment="0" applyProtection="0"/>
    <xf numFmtId="0" fontId="28" fillId="0" borderId="0" applyNumberFormat="0" applyFill="0" applyBorder="0" applyAlignment="0" applyProtection="0"/>
    <xf numFmtId="0" fontId="63" fillId="0" borderId="11" applyNumberFormat="0" applyFill="0" applyAlignment="0" applyProtection="0"/>
    <xf numFmtId="0" fontId="29" fillId="0" borderId="11" applyNumberFormat="0" applyFill="0" applyAlignment="0" applyProtection="0"/>
    <xf numFmtId="0" fontId="64" fillId="21" borderId="2" applyNumberFormat="0" applyAlignment="0" applyProtection="0"/>
    <xf numFmtId="0" fontId="30" fillId="21" borderId="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5" fillId="23" borderId="0" applyNumberFormat="0" applyBorder="0" applyAlignment="0" applyProtection="0"/>
    <xf numFmtId="0" fontId="32" fillId="2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80"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0" borderId="0"/>
    <xf numFmtId="0" fontId="6" fillId="0" borderId="0"/>
    <xf numFmtId="0" fontId="6" fillId="0" borderId="0"/>
    <xf numFmtId="0" fontId="80" fillId="0" borderId="0"/>
    <xf numFmtId="0" fontId="80" fillId="0" borderId="0"/>
    <xf numFmtId="0" fontId="80" fillId="0" borderId="0"/>
    <xf numFmtId="0" fontId="5" fillId="0" borderId="0"/>
    <xf numFmtId="0" fontId="6" fillId="0" borderId="0"/>
    <xf numFmtId="0"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81" fillId="0" borderId="0"/>
    <xf numFmtId="0" fontId="6" fillId="0" borderId="0"/>
    <xf numFmtId="0" fontId="20" fillId="0" borderId="0"/>
    <xf numFmtId="0" fontId="80" fillId="0" borderId="0"/>
    <xf numFmtId="0" fontId="80" fillId="0" borderId="0"/>
    <xf numFmtId="0" fontId="80" fillId="0" borderId="0"/>
    <xf numFmtId="0" fontId="80" fillId="0" borderId="0"/>
    <xf numFmtId="0" fontId="5"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 fillId="0" borderId="0"/>
    <xf numFmtId="0" fontId="80" fillId="0" borderId="0"/>
    <xf numFmtId="0" fontId="80" fillId="0" borderId="0"/>
    <xf numFmtId="0" fontId="80" fillId="0" borderId="0"/>
    <xf numFmtId="0" fontId="19" fillId="0" borderId="0"/>
    <xf numFmtId="0" fontId="6" fillId="0" borderId="0"/>
    <xf numFmtId="0" fontId="19" fillId="0" borderId="0"/>
    <xf numFmtId="0" fontId="19" fillId="0" borderId="0" applyNumberFormat="0" applyFont="0" applyFill="0" applyBorder="0" applyAlignment="0" applyProtection="0">
      <alignment vertical="top"/>
    </xf>
    <xf numFmtId="0" fontId="80" fillId="0" borderId="0"/>
    <xf numFmtId="0" fontId="80" fillId="0" borderId="0"/>
    <xf numFmtId="0" fontId="19" fillId="0" borderId="0" applyNumberFormat="0" applyFont="0" applyFill="0" applyBorder="0" applyAlignment="0" applyProtection="0">
      <alignment vertical="top"/>
    </xf>
    <xf numFmtId="0" fontId="80" fillId="0" borderId="0"/>
    <xf numFmtId="0" fontId="6" fillId="0" borderId="0"/>
    <xf numFmtId="0" fontId="80" fillId="0" borderId="0"/>
    <xf numFmtId="0" fontId="19" fillId="0" borderId="0"/>
    <xf numFmtId="0" fontId="6" fillId="0" borderId="0"/>
    <xf numFmtId="0" fontId="6" fillId="0" borderId="0"/>
    <xf numFmtId="0" fontId="6" fillId="0" borderId="0"/>
    <xf numFmtId="0" fontId="6" fillId="0" borderId="0"/>
    <xf numFmtId="0" fontId="19" fillId="0" borderId="0"/>
    <xf numFmtId="0" fontId="66" fillId="3" borderId="0" applyNumberFormat="0" applyBorder="0" applyAlignment="0" applyProtection="0"/>
    <xf numFmtId="0" fontId="33" fillId="3" borderId="0" applyNumberFormat="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68" fillId="25" borderId="9" applyNumberFormat="0" applyFont="0" applyAlignment="0" applyProtection="0"/>
    <xf numFmtId="0" fontId="19" fillId="25" borderId="9"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9" fillId="0" borderId="8" applyNumberFormat="0" applyFill="0" applyAlignment="0" applyProtection="0"/>
    <xf numFmtId="0" fontId="35" fillId="0" borderId="8" applyNumberFormat="0" applyFill="0" applyAlignment="0" applyProtection="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pplyNumberFormat="0" applyFill="0" applyBorder="0" applyAlignment="0" applyProtection="0"/>
    <xf numFmtId="0" fontId="36" fillId="0" borderId="0" applyNumberFormat="0" applyFill="0" applyBorder="0" applyAlignment="0" applyProtection="0"/>
    <xf numFmtId="174" fontId="72" fillId="0" borderId="0" applyFont="0" applyFill="0" applyBorder="0" applyAlignment="0" applyProtection="0"/>
    <xf numFmtId="175" fontId="72" fillId="0" borderId="0" applyFont="0" applyFill="0" applyBorder="0" applyAlignment="0" applyProtection="0"/>
    <xf numFmtId="169" fontId="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7" fontId="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6" fillId="0" borderId="0" applyFont="0" applyFill="0" applyBorder="0" applyAlignment="0" applyProtection="0"/>
    <xf numFmtId="168" fontId="6" fillId="0" borderId="0" applyFont="0" applyFill="0" applyBorder="0" applyAlignment="0" applyProtection="0"/>
    <xf numFmtId="0" fontId="73" fillId="4" borderId="0" applyNumberFormat="0" applyBorder="0" applyAlignment="0" applyProtection="0"/>
    <xf numFmtId="0" fontId="37" fillId="4" borderId="0" applyNumberFormat="0" applyBorder="0" applyAlignment="0" applyProtection="0"/>
    <xf numFmtId="177" fontId="74" fillId="22" borderId="12" applyFill="0" applyBorder="0">
      <alignment horizontal="center" vertical="center" wrapText="1"/>
      <protection locked="0"/>
    </xf>
    <xf numFmtId="172" fontId="75" fillId="0" borderId="0">
      <alignment wrapText="1"/>
    </xf>
    <xf numFmtId="172" fontId="42" fillId="0" borderId="0">
      <alignment wrapText="1"/>
    </xf>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1" fillId="0" borderId="0"/>
    <xf numFmtId="0" fontId="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60">
    <xf numFmtId="0" fontId="0" fillId="0" borderId="0" xfId="0"/>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horizontal="center" vertical="center"/>
    </xf>
    <xf numFmtId="0" fontId="8" fillId="0" borderId="0" xfId="0" applyFont="1" applyFill="1" applyBorder="1" applyAlignment="1">
      <alignment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0" fontId="9" fillId="0" borderId="3"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13" xfId="0" applyFont="1" applyFill="1" applyBorder="1" applyAlignment="1">
      <alignment vertical="center"/>
    </xf>
    <xf numFmtId="0" fontId="12" fillId="0" borderId="0" xfId="0" applyFont="1" applyFill="1" applyAlignment="1">
      <alignment vertical="center"/>
    </xf>
    <xf numFmtId="0" fontId="9" fillId="0" borderId="0" xfId="0" applyFont="1" applyFill="1" applyAlignment="1">
      <alignment horizontal="left" vertical="center"/>
    </xf>
    <xf numFmtId="0" fontId="18" fillId="0" borderId="0" xfId="0" applyFont="1" applyFill="1"/>
    <xf numFmtId="0" fontId="9" fillId="0" borderId="0" xfId="0" applyFont="1" applyFill="1" applyAlignment="1"/>
    <xf numFmtId="0" fontId="9" fillId="0" borderId="3" xfId="0" applyFont="1" applyFill="1" applyBorder="1" applyAlignment="1">
      <alignment horizontal="left" vertical="center"/>
    </xf>
    <xf numFmtId="0" fontId="8" fillId="0" borderId="0" xfId="0" applyFont="1" applyFill="1" applyBorder="1" applyAlignment="1">
      <alignment horizontal="left" vertical="center"/>
    </xf>
    <xf numFmtId="0" fontId="9" fillId="0" borderId="3" xfId="240" applyFont="1" applyFill="1" applyBorder="1" applyAlignment="1">
      <alignment horizontal="center" vertical="center"/>
    </xf>
    <xf numFmtId="0" fontId="9"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vertical="center" wrapText="1"/>
    </xf>
    <xf numFmtId="0" fontId="9" fillId="0" borderId="0" xfId="249" applyFont="1" applyFill="1" applyBorder="1" applyAlignment="1">
      <alignment vertical="center"/>
    </xf>
    <xf numFmtId="0" fontId="8" fillId="0" borderId="0" xfId="249" applyFont="1" applyFill="1" applyBorder="1" applyAlignment="1">
      <alignment vertical="center"/>
    </xf>
    <xf numFmtId="0" fontId="9" fillId="0" borderId="0" xfId="249" applyFont="1" applyFill="1" applyBorder="1" applyAlignment="1">
      <alignment horizontal="center" vertical="center"/>
    </xf>
    <xf numFmtId="0" fontId="8" fillId="0" borderId="0" xfId="249" applyFont="1" applyFill="1" applyBorder="1" applyAlignment="1">
      <alignment horizontal="center" vertical="center"/>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12" fillId="0" borderId="0" xfId="0" applyFont="1" applyFill="1" applyBorder="1" applyAlignment="1">
      <alignment vertical="center"/>
    </xf>
    <xf numFmtId="0" fontId="21" fillId="0" borderId="0" xfId="249" applyFont="1" applyFill="1"/>
    <xf numFmtId="0" fontId="9" fillId="0" borderId="0" xfId="0" applyFont="1" applyFill="1"/>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Alignment="1">
      <alignment horizontal="left" vertical="center"/>
    </xf>
    <xf numFmtId="0" fontId="9" fillId="0" borderId="17" xfId="0" applyFont="1" applyFill="1" applyBorder="1" applyAlignment="1">
      <alignment horizontal="left" vertical="center"/>
    </xf>
    <xf numFmtId="0" fontId="9" fillId="0" borderId="17" xfId="0" applyFont="1" applyFill="1" applyBorder="1" applyAlignment="1">
      <alignment horizontal="left" vertical="center" wrapText="1"/>
    </xf>
    <xf numFmtId="0" fontId="12" fillId="0" borderId="0" xfId="0" applyFont="1" applyFill="1" applyAlignment="1">
      <alignment horizontal="center" vertical="center"/>
    </xf>
    <xf numFmtId="0" fontId="9" fillId="0" borderId="16" xfId="0" applyFont="1" applyFill="1" applyBorder="1" applyAlignment="1">
      <alignment vertical="center" wrapText="1"/>
    </xf>
    <xf numFmtId="0" fontId="21" fillId="0" borderId="0" xfId="0" applyFont="1" applyFill="1"/>
    <xf numFmtId="0" fontId="9" fillId="0" borderId="18" xfId="0" applyFont="1" applyFill="1" applyBorder="1" applyAlignment="1">
      <alignment vertical="center"/>
    </xf>
    <xf numFmtId="49" fontId="9" fillId="0" borderId="3" xfId="240" applyNumberFormat="1" applyFont="1" applyFill="1" applyBorder="1" applyAlignment="1">
      <alignment horizontal="left" vertical="center" wrapText="1"/>
    </xf>
    <xf numFmtId="0" fontId="9" fillId="29" borderId="3" xfId="240" applyFont="1" applyFill="1" applyBorder="1" applyAlignment="1">
      <alignment horizontal="center" vertical="center" wrapText="1"/>
    </xf>
    <xf numFmtId="0" fontId="18" fillId="0" borderId="0" xfId="0" applyFont="1" applyFill="1" applyBorder="1" applyAlignment="1">
      <alignment vertical="center"/>
    </xf>
    <xf numFmtId="0" fontId="82" fillId="0" borderId="0" xfId="0" applyFont="1" applyFill="1" applyBorder="1" applyAlignment="1">
      <alignment vertical="center"/>
    </xf>
    <xf numFmtId="0" fontId="18" fillId="29" borderId="0" xfId="0" applyFont="1" applyFill="1"/>
    <xf numFmtId="0" fontId="9" fillId="29" borderId="3" xfId="240" applyFont="1" applyFill="1" applyBorder="1" applyAlignment="1">
      <alignment horizontal="center" vertical="center"/>
    </xf>
    <xf numFmtId="0" fontId="9" fillId="29" borderId="3" xfId="240" applyNumberFormat="1" applyFont="1" applyFill="1" applyBorder="1" applyAlignment="1">
      <alignment horizontal="center" vertical="center" wrapText="1"/>
    </xf>
    <xf numFmtId="171" fontId="9" fillId="29" borderId="3" xfId="240" applyNumberFormat="1" applyFont="1" applyFill="1" applyBorder="1" applyAlignment="1">
      <alignment horizontal="center" vertical="center" wrapText="1"/>
    </xf>
    <xf numFmtId="174" fontId="9" fillId="0" borderId="0" xfId="249" applyNumberFormat="1" applyFont="1" applyFill="1" applyBorder="1" applyAlignment="1">
      <alignment vertical="center"/>
    </xf>
    <xf numFmtId="0" fontId="9" fillId="29" borderId="0" xfId="0" quotePrefix="1" applyFont="1" applyFill="1" applyBorder="1" applyAlignment="1">
      <alignment horizontal="center" vertical="center"/>
    </xf>
    <xf numFmtId="171" fontId="9" fillId="0" borderId="0" xfId="0" applyNumberFormat="1" applyFont="1" applyFill="1" applyBorder="1" applyAlignment="1">
      <alignment vertical="center"/>
    </xf>
    <xf numFmtId="174" fontId="9" fillId="0" borderId="0" xfId="0" applyNumberFormat="1" applyFont="1" applyFill="1" applyAlignment="1">
      <alignment vertical="center"/>
    </xf>
    <xf numFmtId="0" fontId="9" fillId="29" borderId="3" xfId="0" applyFont="1" applyFill="1" applyBorder="1" applyAlignment="1">
      <alignment horizontal="left" vertical="center" wrapText="1"/>
    </xf>
    <xf numFmtId="0" fontId="88" fillId="0" borderId="0" xfId="0" applyFont="1" applyFill="1" applyAlignment="1">
      <alignment vertical="center"/>
    </xf>
    <xf numFmtId="0" fontId="89" fillId="0" borderId="0" xfId="0" applyFont="1" applyFill="1" applyAlignment="1">
      <alignment vertical="center"/>
    </xf>
    <xf numFmtId="0" fontId="9" fillId="0" borderId="0" xfId="0" applyFont="1" applyFill="1" applyAlignment="1">
      <alignment horizontal="center" vertical="center" wrapText="1"/>
    </xf>
    <xf numFmtId="43" fontId="9" fillId="0" borderId="0" xfId="249" applyNumberFormat="1" applyFont="1" applyFill="1" applyBorder="1" applyAlignment="1">
      <alignment vertical="center"/>
    </xf>
    <xf numFmtId="0" fontId="9" fillId="29" borderId="0" xfId="0" applyFont="1" applyFill="1" applyBorder="1" applyAlignment="1">
      <alignment horizontal="left" vertical="center"/>
    </xf>
    <xf numFmtId="0" fontId="9" fillId="29" borderId="0" xfId="0" applyFont="1" applyFill="1" applyBorder="1" applyAlignment="1">
      <alignment vertical="center"/>
    </xf>
    <xf numFmtId="0" fontId="9" fillId="29" borderId="0" xfId="0" applyFont="1" applyFill="1" applyAlignment="1">
      <alignment horizontal="left" vertical="center"/>
    </xf>
    <xf numFmtId="0" fontId="9" fillId="29" borderId="0" xfId="0" applyFont="1" applyFill="1" applyBorder="1" applyAlignment="1">
      <alignment horizontal="left" vertical="center" wrapText="1"/>
    </xf>
    <xf numFmtId="0" fontId="9" fillId="29" borderId="3" xfId="0" applyFont="1" applyFill="1" applyBorder="1" applyAlignment="1">
      <alignment horizontal="center" vertical="center" wrapText="1"/>
    </xf>
    <xf numFmtId="0" fontId="9" fillId="29" borderId="0" xfId="0" applyFont="1" applyFill="1" applyAlignment="1">
      <alignment horizontal="center" vertical="center" wrapText="1"/>
    </xf>
    <xf numFmtId="0" fontId="8" fillId="29" borderId="3" xfId="240" applyFont="1" applyFill="1" applyBorder="1" applyAlignment="1">
      <alignment horizontal="left" vertical="center"/>
    </xf>
    <xf numFmtId="0" fontId="9" fillId="29" borderId="3" xfId="240" applyNumberFormat="1" applyFont="1" applyFill="1" applyBorder="1" applyAlignment="1">
      <alignment horizontal="left" vertical="top" wrapText="1"/>
    </xf>
    <xf numFmtId="0" fontId="9" fillId="29" borderId="3" xfId="240" applyNumberFormat="1" applyFont="1" applyFill="1" applyBorder="1" applyAlignment="1">
      <alignment horizontal="left" vertical="center" wrapText="1"/>
    </xf>
    <xf numFmtId="183"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180" fontId="9" fillId="0" borderId="3" xfId="0" applyNumberFormat="1" applyFont="1" applyFill="1" applyBorder="1" applyAlignment="1">
      <alignment horizontal="center" vertical="center" wrapText="1"/>
    </xf>
    <xf numFmtId="174" fontId="9" fillId="0" borderId="3"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174" fontId="8" fillId="0" borderId="3" xfId="0" applyNumberFormat="1" applyFont="1" applyFill="1" applyBorder="1" applyAlignment="1">
      <alignment horizontal="center" vertical="center" wrapText="1"/>
    </xf>
    <xf numFmtId="171" fontId="9" fillId="0" borderId="0" xfId="0" applyNumberFormat="1" applyFont="1" applyFill="1" applyBorder="1" applyAlignment="1">
      <alignment horizontal="center" vertical="center" wrapText="1"/>
    </xf>
    <xf numFmtId="171" fontId="11" fillId="0" borderId="0" xfId="0" applyNumberFormat="1" applyFont="1" applyFill="1" applyBorder="1" applyAlignment="1">
      <alignment vertical="center"/>
    </xf>
    <xf numFmtId="181" fontId="9" fillId="0" borderId="3" xfId="0" applyNumberFormat="1" applyFont="1" applyFill="1" applyBorder="1" applyAlignment="1">
      <alignment horizontal="center" vertical="center" wrapText="1"/>
    </xf>
    <xf numFmtId="180" fontId="8" fillId="0" borderId="3" xfId="0" applyNumberFormat="1" applyFont="1" applyFill="1" applyBorder="1" applyAlignment="1">
      <alignment horizontal="center" vertical="center" wrapText="1"/>
    </xf>
    <xf numFmtId="170" fontId="9" fillId="0" borderId="3" xfId="240" applyNumberFormat="1" applyFont="1" applyFill="1" applyBorder="1" applyAlignment="1">
      <alignment horizontal="center" vertical="center" wrapText="1"/>
    </xf>
    <xf numFmtId="0" fontId="9" fillId="0" borderId="0" xfId="0" applyFont="1" applyFill="1" applyAlignment="1">
      <alignment vertical="center"/>
    </xf>
    <xf numFmtId="179" fontId="8" fillId="0" borderId="3" xfId="0" applyNumberFormat="1" applyFont="1" applyFill="1" applyBorder="1" applyAlignment="1">
      <alignment horizontal="center" vertical="center"/>
    </xf>
    <xf numFmtId="0" fontId="8" fillId="0" borderId="0" xfId="0" applyFont="1" applyFill="1" applyBorder="1" applyAlignment="1">
      <alignment vertical="center" wrapText="1"/>
    </xf>
    <xf numFmtId="0" fontId="9" fillId="0" borderId="0" xfId="0" applyFont="1" applyFill="1" applyAlignment="1">
      <alignment vertical="center" wrapText="1"/>
    </xf>
    <xf numFmtId="0" fontId="9" fillId="0" borderId="0" xfId="0" applyFont="1" applyFill="1" applyBorder="1" applyAlignment="1">
      <alignment horizontal="left" vertical="center" wrapText="1" shrinkToFit="1"/>
    </xf>
    <xf numFmtId="178" fontId="9" fillId="0" borderId="3"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171" fontId="9" fillId="0" borderId="0" xfId="0" applyNumberFormat="1" applyFont="1" applyFill="1" applyAlignment="1">
      <alignment vertical="center"/>
    </xf>
    <xf numFmtId="180" fontId="9" fillId="0" borderId="3" xfId="230" applyNumberFormat="1" applyFont="1" applyFill="1" applyBorder="1" applyAlignment="1">
      <alignment horizontal="center" vertical="center" wrapText="1"/>
    </xf>
    <xf numFmtId="179" fontId="8" fillId="0" borderId="20" xfId="0" applyNumberFormat="1" applyFont="1" applyFill="1" applyBorder="1" applyAlignment="1">
      <alignment horizontal="center" vertical="center" wrapText="1"/>
    </xf>
    <xf numFmtId="174" fontId="9" fillId="0" borderId="3" xfId="0" applyNumberFormat="1" applyFont="1" applyFill="1" applyBorder="1" applyAlignment="1">
      <alignment horizontal="left" vertical="center" wrapText="1"/>
    </xf>
    <xf numFmtId="171" fontId="8" fillId="0" borderId="3" xfId="0" applyNumberFormat="1" applyFont="1" applyFill="1" applyBorder="1" applyAlignment="1">
      <alignment horizontal="center" vertical="center" wrapText="1"/>
    </xf>
    <xf numFmtId="180" fontId="87" fillId="0" borderId="3" xfId="0" applyNumberFormat="1" applyFont="1" applyFill="1" applyBorder="1" applyAlignment="1">
      <alignment horizontal="center" vertical="center" wrapText="1"/>
    </xf>
    <xf numFmtId="181" fontId="8" fillId="0" borderId="15" xfId="249" applyNumberFormat="1" applyFont="1" applyFill="1" applyBorder="1" applyAlignment="1">
      <alignment horizontal="left" vertical="center" wrapText="1"/>
    </xf>
    <xf numFmtId="181" fontId="8" fillId="0" borderId="16" xfId="249" applyNumberFormat="1" applyFont="1" applyFill="1" applyBorder="1" applyAlignment="1">
      <alignment horizontal="left" vertical="center" wrapText="1"/>
    </xf>
    <xf numFmtId="183" fontId="9" fillId="0" borderId="0" xfId="249" applyNumberFormat="1" applyFont="1" applyFill="1" applyBorder="1" applyAlignment="1">
      <alignment vertical="center"/>
    </xf>
    <xf numFmtId="0" fontId="9" fillId="0" borderId="3" xfId="0" applyFont="1" applyFill="1" applyBorder="1" applyAlignment="1">
      <alignment horizontal="center" vertical="center" wrapText="1" shrinkToFit="1"/>
    </xf>
    <xf numFmtId="0" fontId="8" fillId="0" borderId="15" xfId="249" applyFont="1" applyFill="1" applyBorder="1" applyAlignment="1">
      <alignment horizontal="left" vertical="center" wrapText="1"/>
    </xf>
    <xf numFmtId="180" fontId="9" fillId="0" borderId="3" xfId="240" applyNumberFormat="1" applyFont="1" applyFill="1" applyBorder="1" applyAlignment="1">
      <alignment vertical="center" wrapText="1"/>
    </xf>
    <xf numFmtId="180" fontId="9" fillId="0" borderId="3" xfId="0" applyNumberFormat="1" applyFont="1" applyFill="1" applyBorder="1" applyAlignment="1">
      <alignment vertical="top" wrapText="1"/>
    </xf>
    <xf numFmtId="180" fontId="9" fillId="0" borderId="3" xfId="0" applyNumberFormat="1" applyFont="1" applyFill="1" applyBorder="1" applyAlignment="1">
      <alignment vertical="center" wrapText="1"/>
    </xf>
    <xf numFmtId="180" fontId="9" fillId="0" borderId="3" xfId="0" applyNumberFormat="1" applyFont="1" applyFill="1" applyBorder="1" applyAlignment="1">
      <alignment vertical="center"/>
    </xf>
    <xf numFmtId="181" fontId="8" fillId="0" borderId="3" xfId="0" applyNumberFormat="1" applyFont="1" applyFill="1" applyBorder="1" applyAlignment="1">
      <alignment horizontal="center" vertical="center" wrapText="1"/>
    </xf>
    <xf numFmtId="170" fontId="8" fillId="0" borderId="0" xfId="0" applyNumberFormat="1" applyFont="1" applyFill="1" applyBorder="1" applyAlignment="1">
      <alignment horizontal="right" vertical="center" wrapText="1"/>
    </xf>
    <xf numFmtId="183" fontId="9" fillId="0" borderId="0" xfId="0" applyNumberFormat="1" applyFont="1" applyFill="1" applyAlignment="1">
      <alignment vertical="center"/>
    </xf>
    <xf numFmtId="0" fontId="99" fillId="0" borderId="16" xfId="0" applyFont="1" applyFill="1" applyBorder="1" applyAlignment="1">
      <alignment vertical="center" wrapText="1"/>
    </xf>
    <xf numFmtId="0" fontId="9" fillId="0" borderId="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Alignment="1">
      <alignment horizontal="left" vertical="center"/>
    </xf>
    <xf numFmtId="0" fontId="9" fillId="0" borderId="17" xfId="0" applyFont="1" applyFill="1" applyBorder="1" applyAlignment="1">
      <alignment horizontal="left" vertical="center" wrapText="1"/>
    </xf>
    <xf numFmtId="0" fontId="9" fillId="0" borderId="0"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179" fontId="8" fillId="0" borderId="3" xfId="0" applyNumberFormat="1" applyFont="1" applyFill="1" applyBorder="1" applyAlignment="1">
      <alignment horizontal="center" vertical="center" wrapText="1"/>
    </xf>
    <xf numFmtId="17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179" fontId="9" fillId="0" borderId="14" xfId="0" applyNumberFormat="1" applyFont="1" applyFill="1" applyBorder="1" applyAlignment="1">
      <alignment horizontal="center" vertical="center" wrapText="1"/>
    </xf>
    <xf numFmtId="179" fontId="9" fillId="0" borderId="16"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9" fontId="8" fillId="0" borderId="14" xfId="0" applyNumberFormat="1" applyFont="1" applyFill="1" applyBorder="1" applyAlignment="1">
      <alignment horizontal="center" vertical="center" wrapText="1"/>
    </xf>
    <xf numFmtId="179" fontId="8" fillId="0" borderId="16"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71" fontId="9" fillId="0" borderId="3"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49" fontId="9" fillId="0" borderId="3" xfId="0" applyNumberFormat="1"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183" applyFont="1" applyFill="1" applyBorder="1" applyAlignment="1">
      <alignment vertical="center" wrapText="1"/>
      <protection locked="0"/>
    </xf>
    <xf numFmtId="0" fontId="8" fillId="0" borderId="3" xfId="183" applyFont="1" applyFill="1" applyBorder="1" applyAlignment="1">
      <alignment vertical="center" wrapText="1"/>
      <protection locked="0"/>
    </xf>
    <xf numFmtId="0" fontId="8" fillId="0" borderId="3" xfId="0" applyFont="1" applyFill="1" applyBorder="1" applyAlignment="1">
      <alignment vertical="center" wrapText="1"/>
    </xf>
    <xf numFmtId="0" fontId="8" fillId="0" borderId="3" xfId="0" applyFont="1" applyFill="1" applyBorder="1" applyAlignment="1" applyProtection="1">
      <alignment vertical="center" wrapText="1"/>
      <protection locked="0"/>
    </xf>
    <xf numFmtId="0" fontId="9" fillId="0" borderId="3" xfId="0" applyFont="1" applyFill="1" applyBorder="1" applyAlignment="1">
      <alignment horizontal="left" vertical="center" wrapText="1"/>
    </xf>
    <xf numFmtId="0" fontId="9" fillId="0" borderId="3" xfId="0" quotePrefix="1" applyFont="1" applyFill="1" applyBorder="1" applyAlignment="1">
      <alignment horizontal="center" vertical="center"/>
    </xf>
    <xf numFmtId="0" fontId="8" fillId="0" borderId="3" xfId="249" applyFont="1" applyFill="1" applyBorder="1" applyAlignment="1">
      <alignment horizontal="left" vertical="center" wrapText="1"/>
    </xf>
    <xf numFmtId="0" fontId="9" fillId="0" borderId="3" xfId="249" applyFont="1" applyFill="1" applyBorder="1" applyAlignment="1">
      <alignment horizontal="left" vertical="center" wrapText="1"/>
    </xf>
    <xf numFmtId="0" fontId="9" fillId="0" borderId="3" xfId="249" applyFont="1" applyFill="1" applyBorder="1" applyAlignment="1">
      <alignment horizontal="center" vertical="center"/>
    </xf>
    <xf numFmtId="0" fontId="9"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4" fontId="8" fillId="0" borderId="19" xfId="0" applyNumberFormat="1" applyFont="1" applyFill="1" applyBorder="1" applyAlignment="1" applyProtection="1">
      <alignment horizontal="left" vertical="center" wrapText="1"/>
      <protection locked="0"/>
    </xf>
    <xf numFmtId="3" fontId="9" fillId="0" borderId="3" xfId="0" quotePrefix="1" applyNumberFormat="1" applyFont="1" applyFill="1" applyBorder="1" applyAlignment="1">
      <alignment horizontal="center" vertical="center"/>
    </xf>
    <xf numFmtId="4" fontId="9" fillId="0" borderId="3" xfId="0" applyNumberFormat="1" applyFont="1" applyFill="1" applyBorder="1" applyAlignment="1" applyProtection="1">
      <alignment horizontal="left" vertical="center" wrapText="1"/>
      <protection locked="0"/>
    </xf>
    <xf numFmtId="3" fontId="9" fillId="0" borderId="18" xfId="0" quotePrefix="1" applyNumberFormat="1" applyFont="1" applyFill="1" applyBorder="1" applyAlignment="1">
      <alignment horizontal="center" vertical="center"/>
    </xf>
    <xf numFmtId="4" fontId="8" fillId="0" borderId="18" xfId="0" applyNumberFormat="1"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9" xfId="0" applyFont="1" applyFill="1" applyBorder="1" applyAlignment="1">
      <alignment horizontal="center" vertical="center"/>
    </xf>
    <xf numFmtId="0" fontId="9" fillId="0" borderId="18" xfId="0" applyFont="1" applyFill="1" applyBorder="1" applyAlignment="1" applyProtection="1">
      <alignment horizontal="left" vertical="center" wrapText="1"/>
      <protection locked="0"/>
    </xf>
    <xf numFmtId="0" fontId="9" fillId="0" borderId="18" xfId="0" applyFont="1" applyFill="1" applyBorder="1" applyAlignment="1">
      <alignment horizontal="center" vertical="center"/>
    </xf>
    <xf numFmtId="0" fontId="8" fillId="0" borderId="19" xfId="0" applyFont="1" applyFill="1" applyBorder="1" applyAlignment="1" applyProtection="1">
      <alignment horizontal="left" vertical="center" wrapText="1"/>
      <protection locked="0"/>
    </xf>
    <xf numFmtId="49" fontId="9" fillId="0" borderId="19"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0" fontId="8" fillId="0" borderId="0" xfId="0" applyFont="1" applyFill="1" applyBorder="1" applyAlignment="1" applyProtection="1">
      <alignment horizontal="left" vertical="center"/>
      <protection locked="0"/>
    </xf>
    <xf numFmtId="171" fontId="8" fillId="0" borderId="0" xfId="0" applyNumberFormat="1" applyFont="1" applyFill="1" applyBorder="1" applyAlignment="1">
      <alignment horizontal="center" vertical="center" wrapText="1"/>
    </xf>
    <xf numFmtId="171" fontId="8" fillId="0" borderId="0" xfId="0" applyNumberFormat="1" applyFont="1" applyFill="1" applyBorder="1" applyAlignment="1">
      <alignment horizontal="right" vertical="center" wrapText="1"/>
    </xf>
    <xf numFmtId="0" fontId="9" fillId="0" borderId="0" xfId="0" quotePrefix="1" applyFont="1" applyFill="1" applyBorder="1" applyAlignment="1">
      <alignment horizontal="center" vertical="center"/>
    </xf>
    <xf numFmtId="0" fontId="8" fillId="0" borderId="0" xfId="0" applyFont="1" applyFill="1" applyBorder="1" applyAlignment="1">
      <alignment horizontal="center" vertical="center" wrapText="1"/>
    </xf>
    <xf numFmtId="0" fontId="90" fillId="0" borderId="0" xfId="0"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0" fontId="94" fillId="0" borderId="3" xfId="0" applyFont="1" applyFill="1" applyBorder="1" applyAlignment="1">
      <alignment wrapText="1"/>
    </xf>
    <xf numFmtId="49" fontId="16" fillId="0" borderId="3" xfId="0" applyNumberFormat="1" applyFont="1" applyFill="1" applyBorder="1" applyAlignment="1">
      <alignment horizontal="left" vertical="center" wrapText="1"/>
    </xf>
    <xf numFmtId="49" fontId="95" fillId="0" borderId="3" xfId="0" applyNumberFormat="1" applyFont="1" applyFill="1" applyBorder="1" applyAlignment="1">
      <alignment horizontal="left" vertical="center" wrapText="1"/>
    </xf>
    <xf numFmtId="180" fontId="86" fillId="0" borderId="3" xfId="0" applyNumberFormat="1" applyFont="1" applyFill="1" applyBorder="1" applyAlignment="1">
      <alignment horizontal="center" vertical="center" wrapText="1"/>
    </xf>
    <xf numFmtId="0" fontId="97" fillId="0" borderId="3" xfId="0" applyNumberFormat="1" applyFont="1" applyFill="1" applyBorder="1" applyAlignment="1">
      <alignment wrapText="1"/>
    </xf>
    <xf numFmtId="49" fontId="96"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quotePrefix="1" applyFont="1" applyFill="1" applyBorder="1" applyAlignment="1">
      <alignment horizontal="center" vertical="center"/>
    </xf>
    <xf numFmtId="49" fontId="98" fillId="0" borderId="3" xfId="0" applyNumberFormat="1" applyFont="1" applyFill="1" applyBorder="1" applyAlignment="1">
      <alignment horizontal="left" vertical="center" wrapText="1"/>
    </xf>
    <xf numFmtId="0" fontId="95" fillId="0" borderId="3" xfId="0" applyNumberFormat="1" applyFont="1" applyFill="1" applyBorder="1" applyAlignment="1">
      <alignment wrapText="1"/>
    </xf>
    <xf numFmtId="49" fontId="14" fillId="0" borderId="3"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shrinkToFit="1"/>
    </xf>
    <xf numFmtId="0" fontId="8" fillId="0" borderId="3" xfId="0" applyFont="1" applyFill="1" applyBorder="1" applyAlignment="1">
      <alignment horizontal="left" vertical="center" wrapText="1" shrinkToFit="1"/>
    </xf>
    <xf numFmtId="181" fontId="86" fillId="0" borderId="3" xfId="0" applyNumberFormat="1" applyFont="1" applyFill="1" applyBorder="1" applyAlignment="1">
      <alignment horizontal="center" vertical="center" wrapText="1"/>
    </xf>
    <xf numFmtId="180" fontId="9" fillId="0" borderId="3" xfId="230" applyNumberFormat="1" applyFont="1" applyFill="1" applyBorder="1" applyAlignment="1">
      <alignment horizontal="right" vertical="center" wrapText="1"/>
    </xf>
    <xf numFmtId="49" fontId="8" fillId="0" borderId="3" xfId="0" applyNumberFormat="1" applyFont="1" applyFill="1" applyBorder="1" applyAlignment="1">
      <alignment horizontal="left" vertical="center" wrapText="1"/>
    </xf>
    <xf numFmtId="0" fontId="9" fillId="0" borderId="3" xfId="0" applyFont="1" applyFill="1" applyBorder="1" applyAlignment="1">
      <alignment horizontal="center"/>
    </xf>
    <xf numFmtId="0" fontId="9" fillId="0" borderId="3" xfId="0" quotePrefix="1" applyFont="1" applyFill="1" applyBorder="1" applyAlignment="1">
      <alignment horizontal="center"/>
    </xf>
    <xf numFmtId="0" fontId="8" fillId="0" borderId="3" xfId="0" quotePrefix="1" applyFont="1" applyFill="1" applyBorder="1" applyAlignment="1">
      <alignment horizontal="center"/>
    </xf>
    <xf numFmtId="0" fontId="8" fillId="0" borderId="0" xfId="0" applyFont="1" applyFill="1" applyBorder="1" applyAlignment="1">
      <alignment horizontal="left" vertical="center" wrapText="1"/>
    </xf>
    <xf numFmtId="0" fontId="8" fillId="0" borderId="0" xfId="0" quotePrefix="1" applyFont="1" applyFill="1" applyBorder="1" applyAlignment="1">
      <alignment horizontal="center"/>
    </xf>
    <xf numFmtId="17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9" fontId="8" fillId="0" borderId="0" xfId="371" applyFont="1" applyFill="1" applyBorder="1" applyAlignment="1">
      <alignment horizontal="center" vertical="center" wrapText="1"/>
    </xf>
    <xf numFmtId="171" fontId="9" fillId="0" borderId="0" xfId="0" applyNumberFormat="1" applyFont="1" applyFill="1" applyBorder="1" applyAlignment="1">
      <alignment horizontal="right" vertical="center" wrapText="1"/>
    </xf>
    <xf numFmtId="180" fontId="9" fillId="0" borderId="0" xfId="249" applyNumberFormat="1" applyFont="1" applyFill="1" applyBorder="1" applyAlignment="1">
      <alignment horizontal="center" vertical="center"/>
    </xf>
    <xf numFmtId="0" fontId="9" fillId="0" borderId="3" xfId="249" applyFont="1" applyFill="1" applyBorder="1" applyAlignment="1">
      <alignment horizontal="center" vertical="center" wrapText="1"/>
    </xf>
    <xf numFmtId="174" fontId="9" fillId="0" borderId="3" xfId="249" applyNumberFormat="1" applyFont="1" applyFill="1" applyBorder="1" applyAlignment="1">
      <alignment vertical="center" wrapText="1"/>
    </xf>
    <xf numFmtId="0" fontId="8" fillId="0" borderId="3" xfId="0" applyFont="1" applyFill="1" applyBorder="1" applyAlignment="1">
      <alignment horizontal="center" vertical="center"/>
    </xf>
    <xf numFmtId="180" fontId="84" fillId="0" borderId="3" xfId="0" applyNumberFormat="1" applyFont="1" applyFill="1" applyBorder="1" applyAlignment="1">
      <alignment horizontal="center" vertical="center" wrapText="1"/>
    </xf>
    <xf numFmtId="0" fontId="8" fillId="0" borderId="3" xfId="249" applyFont="1" applyFill="1" applyBorder="1" applyAlignment="1">
      <alignment horizontal="center" vertical="center"/>
    </xf>
    <xf numFmtId="0" fontId="9" fillId="0" borderId="0" xfId="249" applyFont="1" applyFill="1" applyBorder="1" applyAlignment="1">
      <alignment horizontal="left" vertical="center" wrapText="1"/>
    </xf>
    <xf numFmtId="180" fontId="9" fillId="0" borderId="0" xfId="249" applyNumberFormat="1" applyFont="1" applyFill="1" applyBorder="1" applyAlignment="1">
      <alignment horizontal="center" vertical="center" wrapText="1"/>
    </xf>
    <xf numFmtId="171" fontId="9" fillId="0" borderId="0" xfId="249" applyNumberFormat="1" applyFont="1" applyFill="1" applyBorder="1" applyAlignment="1">
      <alignment horizontal="right" vertical="center" wrapText="1"/>
    </xf>
    <xf numFmtId="171" fontId="9" fillId="0" borderId="0" xfId="249" applyNumberFormat="1" applyFont="1" applyFill="1" applyBorder="1" applyAlignment="1">
      <alignment horizontal="center" vertical="center" wrapText="1"/>
    </xf>
    <xf numFmtId="0" fontId="9" fillId="0" borderId="0" xfId="249" applyFont="1" applyFill="1" applyBorder="1" applyAlignment="1">
      <alignment vertical="center" wrapText="1"/>
    </xf>
    <xf numFmtId="0" fontId="8" fillId="0" borderId="13" xfId="0" applyFont="1" applyFill="1" applyBorder="1" applyAlignment="1">
      <alignment vertical="center"/>
    </xf>
    <xf numFmtId="0" fontId="8" fillId="0" borderId="14" xfId="249" applyFont="1" applyFill="1" applyBorder="1" applyAlignment="1">
      <alignment horizontal="left" vertical="center" wrapText="1"/>
    </xf>
    <xf numFmtId="0" fontId="8" fillId="0" borderId="16" xfId="249"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9" xfId="0" quotePrefix="1" applyFont="1" applyFill="1" applyBorder="1" applyAlignment="1">
      <alignment horizontal="center" vertical="center"/>
    </xf>
    <xf numFmtId="180" fontId="8" fillId="0" borderId="15" xfId="249" applyNumberFormat="1" applyFont="1" applyFill="1" applyBorder="1" applyAlignment="1">
      <alignment horizontal="left" vertical="center" wrapText="1"/>
    </xf>
    <xf numFmtId="0" fontId="9" fillId="0" borderId="18" xfId="0" applyFont="1" applyFill="1" applyBorder="1" applyAlignment="1">
      <alignment horizontal="left" vertical="center" wrapText="1"/>
    </xf>
    <xf numFmtId="0" fontId="14" fillId="0" borderId="14" xfId="240" applyFont="1" applyFill="1" applyBorder="1" applyAlignment="1">
      <alignment vertical="center" wrapText="1"/>
    </xf>
    <xf numFmtId="0" fontId="14" fillId="0" borderId="14" xfId="0" applyFont="1" applyFill="1" applyBorder="1" applyAlignment="1">
      <alignment vertical="top" wrapText="1"/>
    </xf>
    <xf numFmtId="180" fontId="91" fillId="0" borderId="3" xfId="0" applyNumberFormat="1" applyFont="1" applyFill="1" applyBorder="1" applyAlignment="1">
      <alignment horizontal="center" vertical="center" wrapText="1"/>
    </xf>
    <xf numFmtId="0" fontId="9" fillId="0" borderId="3" xfId="240" applyFont="1" applyFill="1" applyBorder="1" applyAlignment="1">
      <alignment vertical="top" wrapText="1"/>
    </xf>
    <xf numFmtId="180" fontId="9" fillId="0" borderId="19" xfId="240" applyNumberFormat="1" applyFont="1" applyFill="1" applyBorder="1" applyAlignment="1">
      <alignment vertical="center" wrapText="1"/>
    </xf>
    <xf numFmtId="0" fontId="9" fillId="0" borderId="40" xfId="240" applyFont="1" applyFill="1" applyBorder="1" applyAlignment="1">
      <alignment horizontal="left" vertical="center" wrapText="1"/>
    </xf>
    <xf numFmtId="0" fontId="9" fillId="0" borderId="3" xfId="240" applyFont="1" applyFill="1" applyBorder="1" applyAlignment="1">
      <alignment vertical="center" wrapText="1"/>
    </xf>
    <xf numFmtId="0" fontId="9" fillId="0" borderId="19" xfId="240" applyFont="1" applyFill="1" applyBorder="1" applyAlignment="1">
      <alignment vertical="center" wrapText="1"/>
    </xf>
    <xf numFmtId="0" fontId="9" fillId="0" borderId="14" xfId="240" applyFont="1" applyFill="1" applyBorder="1" applyAlignment="1">
      <alignment horizontal="left" vertical="top" wrapText="1"/>
    </xf>
    <xf numFmtId="0" fontId="9" fillId="0" borderId="3" xfId="240" applyFont="1" applyFill="1" applyBorder="1" applyAlignment="1">
      <alignment horizontal="left" vertical="center" wrapText="1"/>
    </xf>
    <xf numFmtId="49" fontId="8" fillId="0" borderId="3"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180" fontId="9" fillId="0" borderId="0" xfId="0" applyNumberFormat="1" applyFont="1" applyFill="1" applyAlignment="1">
      <alignment vertical="center"/>
    </xf>
    <xf numFmtId="49" fontId="9" fillId="0" borderId="3" xfId="0" applyNumberFormat="1" applyFont="1" applyFill="1" applyBorder="1" applyAlignment="1">
      <alignment vertical="center" wrapText="1"/>
    </xf>
    <xf numFmtId="49" fontId="9" fillId="0" borderId="14" xfId="0" applyNumberFormat="1" applyFont="1" applyFill="1" applyBorder="1" applyAlignment="1">
      <alignment vertical="center" wrapText="1"/>
    </xf>
    <xf numFmtId="180" fontId="9" fillId="0" borderId="3" xfId="0" applyNumberFormat="1"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horizontal="left" vertical="top" wrapText="1"/>
    </xf>
    <xf numFmtId="178" fontId="84" fillId="0" borderId="3" xfId="230" applyNumberFormat="1" applyFont="1" applyFill="1" applyBorder="1" applyAlignment="1">
      <alignment horizontal="right" vertical="center"/>
    </xf>
    <xf numFmtId="178" fontId="9" fillId="0" borderId="12" xfId="230" applyNumberFormat="1" applyFont="1" applyFill="1" applyBorder="1" applyAlignment="1">
      <alignment horizontal="right" vertical="center"/>
    </xf>
    <xf numFmtId="180" fontId="9" fillId="0" borderId="3" xfId="0" applyNumberFormat="1" applyFont="1" applyFill="1" applyBorder="1" applyAlignment="1">
      <alignment horizontal="right" vertical="center" wrapText="1"/>
    </xf>
    <xf numFmtId="178" fontId="9" fillId="0" borderId="51" xfId="230" applyNumberFormat="1" applyFont="1" applyFill="1" applyBorder="1" applyAlignment="1">
      <alignment horizontal="right" vertical="center"/>
    </xf>
    <xf numFmtId="0" fontId="9" fillId="0" borderId="14" xfId="240" applyFont="1" applyFill="1" applyBorder="1" applyAlignment="1">
      <alignment horizontal="left" vertical="center" wrapText="1"/>
    </xf>
    <xf numFmtId="0" fontId="85" fillId="0" borderId="0" xfId="0" applyFont="1" applyFill="1"/>
    <xf numFmtId="0" fontId="8" fillId="0" borderId="18" xfId="0" quotePrefix="1" applyFont="1" applyFill="1" applyBorder="1" applyAlignment="1">
      <alignment horizontal="center" vertical="center"/>
    </xf>
    <xf numFmtId="0" fontId="9" fillId="0" borderId="26" xfId="0" applyFont="1" applyFill="1" applyBorder="1" applyAlignment="1">
      <alignment horizontal="left" vertical="center" wrapText="1"/>
    </xf>
    <xf numFmtId="0" fontId="9" fillId="0" borderId="27" xfId="240" applyFont="1" applyFill="1" applyBorder="1" applyAlignment="1">
      <alignment horizontal="left" vertical="center" wrapText="1"/>
    </xf>
    <xf numFmtId="0" fontId="8" fillId="0" borderId="18" xfId="249" applyFont="1" applyFill="1" applyBorder="1" applyAlignment="1">
      <alignment horizontal="left" vertical="center" wrapText="1"/>
    </xf>
    <xf numFmtId="0" fontId="8" fillId="0" borderId="0" xfId="0" quotePrefix="1" applyFont="1" applyFill="1" applyBorder="1" applyAlignment="1">
      <alignment horizontal="center" vertical="center"/>
    </xf>
    <xf numFmtId="170" fontId="8" fillId="0" borderId="0" xfId="0" applyNumberFormat="1" applyFont="1" applyFill="1" applyBorder="1" applyAlignment="1">
      <alignment horizontal="center" vertical="center" wrapText="1"/>
    </xf>
    <xf numFmtId="170" fontId="8" fillId="0" borderId="0" xfId="0" applyNumberFormat="1" applyFont="1" applyFill="1" applyBorder="1" applyAlignment="1">
      <alignment horizontal="right" vertical="center"/>
    </xf>
    <xf numFmtId="0" fontId="9" fillId="0" borderId="0" xfId="0" applyFont="1" applyFill="1" applyBorder="1" applyAlignment="1" applyProtection="1">
      <alignment horizontal="left" vertical="center" wrapText="1"/>
      <protection locked="0"/>
    </xf>
    <xf numFmtId="0" fontId="9" fillId="0" borderId="3" xfId="0" quotePrefix="1"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180" fontId="9" fillId="0" borderId="3" xfId="34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xf>
    <xf numFmtId="3" fontId="9" fillId="0" borderId="0" xfId="0" applyNumberFormat="1" applyFont="1" applyFill="1" applyBorder="1" applyAlignment="1">
      <alignment vertical="center"/>
    </xf>
    <xf numFmtId="0" fontId="83" fillId="0" borderId="0" xfId="0" applyFont="1" applyFill="1" applyBorder="1" applyAlignment="1">
      <alignment vertical="center"/>
    </xf>
    <xf numFmtId="178" fontId="9" fillId="0" borderId="14" xfId="0" applyNumberFormat="1" applyFont="1" applyFill="1" applyBorder="1" applyAlignment="1">
      <alignment horizontal="center" vertical="center" wrapText="1"/>
    </xf>
    <xf numFmtId="178" fontId="9" fillId="0" borderId="16" xfId="0" applyNumberFormat="1" applyFont="1" applyFill="1" applyBorder="1" applyAlignment="1">
      <alignment horizontal="center" vertical="center" wrapText="1"/>
    </xf>
    <xf numFmtId="0" fontId="84" fillId="0" borderId="0" xfId="0" applyFont="1" applyFill="1" applyBorder="1" applyAlignment="1">
      <alignment vertical="center"/>
    </xf>
    <xf numFmtId="0" fontId="9" fillId="0" borderId="0" xfId="0" applyFont="1" applyFill="1" applyBorder="1"/>
    <xf numFmtId="0" fontId="14" fillId="0" borderId="0" xfId="0" applyFont="1" applyFill="1" applyAlignment="1">
      <alignment horizontal="center" vertical="center"/>
    </xf>
    <xf numFmtId="0" fontId="16" fillId="0" borderId="14"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vertical="center"/>
    </xf>
    <xf numFmtId="0" fontId="9" fillId="0" borderId="3" xfId="0" applyFont="1" applyFill="1" applyBorder="1" applyAlignment="1">
      <alignment horizontal="justify" vertical="top"/>
    </xf>
    <xf numFmtId="0" fontId="9" fillId="0" borderId="3" xfId="0" applyFont="1" applyFill="1" applyBorder="1" applyAlignment="1">
      <alignment wrapText="1"/>
    </xf>
    <xf numFmtId="0" fontId="15" fillId="0" borderId="0" xfId="0" applyFont="1" applyFill="1" applyBorder="1" applyAlignment="1">
      <alignment vertical="center"/>
    </xf>
    <xf numFmtId="0" fontId="8" fillId="0" borderId="13" xfId="0" applyFont="1" applyFill="1" applyBorder="1" applyAlignment="1">
      <alignment horizontal="left" vertical="center" wrapText="1"/>
    </xf>
    <xf numFmtId="0" fontId="8" fillId="0" borderId="13" xfId="0" applyFont="1" applyFill="1" applyBorder="1" applyAlignment="1">
      <alignment vertical="center" wrapText="1"/>
    </xf>
    <xf numFmtId="0" fontId="16" fillId="0" borderId="3" xfId="0" applyFont="1" applyFill="1" applyBorder="1" applyAlignment="1">
      <alignment horizontal="center" vertical="center" wrapText="1" shrinkToFit="1"/>
    </xf>
    <xf numFmtId="0" fontId="9" fillId="0" borderId="14" xfId="0" applyFont="1" applyFill="1" applyBorder="1" applyAlignment="1">
      <alignment vertical="center" wrapText="1" shrinkToFit="1"/>
    </xf>
    <xf numFmtId="170" fontId="8" fillId="0" borderId="0" xfId="0" applyNumberFormat="1" applyFont="1" applyFill="1" applyBorder="1" applyAlignment="1">
      <alignment vertical="center" wrapText="1"/>
    </xf>
    <xf numFmtId="171" fontId="8" fillId="0" borderId="0" xfId="0" applyNumberFormat="1" applyFont="1" applyFill="1" applyBorder="1" applyAlignment="1">
      <alignment horizontal="center" vertical="center"/>
    </xf>
    <xf numFmtId="0" fontId="9" fillId="0" borderId="3" xfId="0" applyFont="1" applyFill="1" applyBorder="1" applyAlignment="1">
      <alignment vertical="center" wrapText="1" shrinkToFit="1"/>
    </xf>
    <xf numFmtId="3" fontId="16" fillId="0" borderId="3" xfId="0" applyNumberFormat="1" applyFont="1" applyFill="1" applyBorder="1" applyAlignment="1">
      <alignment horizontal="center" vertical="center" wrapText="1" shrinkToFit="1"/>
    </xf>
    <xf numFmtId="0" fontId="18" fillId="0" borderId="0" xfId="0" applyFont="1" applyFill="1" applyAlignment="1">
      <alignment horizontal="right" vertical="center"/>
    </xf>
    <xf numFmtId="0" fontId="8" fillId="0" borderId="39" xfId="240" applyFont="1" applyFill="1" applyBorder="1" applyAlignment="1">
      <alignment horizontal="center" vertical="center" wrapText="1"/>
    </xf>
    <xf numFmtId="0" fontId="8" fillId="0" borderId="12" xfId="0" applyFont="1" applyFill="1" applyBorder="1" applyAlignment="1">
      <alignment horizontal="center" vertical="center" wrapText="1"/>
    </xf>
    <xf numFmtId="179" fontId="8" fillId="0" borderId="3"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3" xfId="0" applyNumberFormat="1" applyFont="1" applyFill="1" applyBorder="1" applyAlignment="1">
      <alignment horizontal="right" vertical="center"/>
    </xf>
    <xf numFmtId="3" fontId="9" fillId="0" borderId="26" xfId="0" applyNumberFormat="1" applyFont="1" applyFill="1" applyBorder="1" applyAlignment="1">
      <alignment horizontal="center" vertical="center" wrapText="1"/>
    </xf>
    <xf numFmtId="179" fontId="9" fillId="0" borderId="12" xfId="0" applyNumberFormat="1" applyFont="1" applyFill="1" applyBorder="1" applyAlignment="1">
      <alignment horizontal="center" vertical="center" wrapText="1"/>
    </xf>
    <xf numFmtId="179" fontId="9" fillId="0" borderId="20"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xf>
    <xf numFmtId="1" fontId="9" fillId="0" borderId="12" xfId="0" applyNumberFormat="1" applyFont="1" applyFill="1" applyBorder="1" applyAlignment="1">
      <alignment horizontal="center" vertical="center"/>
    </xf>
    <xf numFmtId="3" fontId="9" fillId="0" borderId="52"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1" fontId="9" fillId="0" borderId="12" xfId="0" applyNumberFormat="1" applyFont="1" applyFill="1" applyBorder="1" applyAlignment="1">
      <alignment horizontal="right" vertical="center"/>
    </xf>
    <xf numFmtId="1" fontId="86" fillId="0" borderId="12" xfId="0" applyNumberFormat="1" applyFont="1" applyFill="1" applyBorder="1" applyAlignment="1">
      <alignment horizontal="right" vertical="center"/>
    </xf>
    <xf numFmtId="0" fontId="9" fillId="0" borderId="20" xfId="240" applyFont="1" applyFill="1" applyBorder="1" applyAlignment="1">
      <alignment horizontal="center" vertical="center" wrapText="1"/>
    </xf>
    <xf numFmtId="179" fontId="8" fillId="0" borderId="12"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1" fontId="9" fillId="0" borderId="3" xfId="0" applyNumberFormat="1" applyFont="1" applyFill="1" applyBorder="1" applyAlignment="1">
      <alignment horizontal="right" vertical="center" wrapText="1"/>
    </xf>
    <xf numFmtId="1" fontId="9" fillId="0" borderId="14" xfId="0" applyNumberFormat="1" applyFont="1" applyFill="1" applyBorder="1" applyAlignment="1">
      <alignment horizontal="center" vertical="center" wrapText="1"/>
    </xf>
    <xf numFmtId="179" fontId="8" fillId="0" borderId="12" xfId="0" applyNumberFormat="1" applyFont="1" applyFill="1" applyBorder="1" applyAlignment="1">
      <alignment horizontal="center" vertical="center"/>
    </xf>
    <xf numFmtId="179" fontId="8" fillId="0" borderId="18" xfId="0" applyNumberFormat="1" applyFont="1" applyFill="1" applyBorder="1" applyAlignment="1">
      <alignment horizontal="center" vertical="center" wrapText="1"/>
    </xf>
    <xf numFmtId="179" fontId="8" fillId="0" borderId="51" xfId="0" applyNumberFormat="1" applyFont="1" applyFill="1" applyBorder="1" applyAlignment="1">
      <alignment horizontal="center" vertical="center" wrapText="1"/>
    </xf>
    <xf numFmtId="179" fontId="8" fillId="0" borderId="22" xfId="0" applyNumberFormat="1" applyFont="1" applyFill="1" applyBorder="1" applyAlignment="1">
      <alignment horizontal="center" vertical="center" wrapText="1"/>
    </xf>
    <xf numFmtId="179" fontId="8" fillId="0" borderId="23" xfId="0" applyNumberFormat="1" applyFont="1" applyFill="1" applyBorder="1" applyAlignment="1">
      <alignment horizontal="center" vertical="center" wrapText="1"/>
    </xf>
    <xf numFmtId="170" fontId="9" fillId="0" borderId="19" xfId="0" applyNumberFormat="1" applyFont="1" applyFill="1" applyBorder="1" applyAlignment="1">
      <alignment horizontal="center" vertical="center" wrapText="1"/>
    </xf>
    <xf numFmtId="170" fontId="9" fillId="0" borderId="25" xfId="0" applyNumberFormat="1" applyFont="1" applyFill="1" applyBorder="1" applyAlignment="1">
      <alignment horizontal="center" vertical="center" wrapText="1"/>
    </xf>
    <xf numFmtId="170" fontId="9" fillId="0" borderId="21" xfId="0" applyNumberFormat="1" applyFont="1" applyFill="1" applyBorder="1" applyAlignment="1">
      <alignment horizontal="center" vertical="center" wrapText="1"/>
    </xf>
    <xf numFmtId="170" fontId="9" fillId="0" borderId="22" xfId="0" applyNumberFormat="1" applyFont="1" applyFill="1" applyBorder="1" applyAlignment="1">
      <alignment horizontal="center" vertical="center" wrapText="1"/>
    </xf>
    <xf numFmtId="170" fontId="9" fillId="0" borderId="23" xfId="0" applyNumberFormat="1" applyFont="1" applyFill="1" applyBorder="1" applyAlignment="1">
      <alignment horizontal="center" vertical="center" wrapText="1"/>
    </xf>
    <xf numFmtId="170" fontId="9" fillId="0" borderId="16"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170" fontId="9" fillId="0" borderId="0" xfId="0" applyNumberFormat="1" applyFont="1" applyFill="1" applyBorder="1" applyAlignment="1">
      <alignment vertical="center" wrapText="1"/>
    </xf>
    <xf numFmtId="170" fontId="9" fillId="0" borderId="0"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70" fontId="8" fillId="0" borderId="0" xfId="0" applyNumberFormat="1" applyFont="1" applyFill="1" applyBorder="1" applyAlignment="1">
      <alignment vertical="center"/>
    </xf>
    <xf numFmtId="0" fontId="21" fillId="0" borderId="0" xfId="0" applyFont="1" applyFill="1" applyAlignment="1">
      <alignment vertical="center"/>
    </xf>
    <xf numFmtId="0" fontId="99" fillId="0" borderId="3" xfId="0" applyFont="1" applyFill="1" applyBorder="1" applyAlignment="1">
      <alignment vertical="center" wrapText="1"/>
    </xf>
    <xf numFmtId="164" fontId="9" fillId="0" borderId="14" xfId="0" applyNumberFormat="1" applyFont="1" applyFill="1" applyBorder="1" applyAlignment="1">
      <alignment horizontal="right" vertical="center" wrapText="1"/>
    </xf>
    <xf numFmtId="164" fontId="9" fillId="0" borderId="16" xfId="0" applyNumberFormat="1" applyFont="1" applyFill="1" applyBorder="1" applyAlignment="1">
      <alignment horizontal="right" vertical="center" wrapText="1"/>
    </xf>
    <xf numFmtId="0" fontId="79" fillId="0" borderId="0" xfId="0" applyFont="1" applyFill="1" applyBorder="1" applyAlignment="1">
      <alignment horizontal="center"/>
    </xf>
    <xf numFmtId="0" fontId="79" fillId="0" borderId="0" xfId="0" applyFont="1" applyFill="1" applyBorder="1" applyAlignment="1"/>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Alignment="1">
      <alignment horizontal="center" vertical="center"/>
    </xf>
    <xf numFmtId="0" fontId="9" fillId="0" borderId="0" xfId="0" applyFont="1" applyFill="1" applyAlignment="1">
      <alignment vertical="center" wrapText="1" shrinkToFit="1"/>
    </xf>
    <xf numFmtId="0" fontId="9" fillId="0" borderId="0" xfId="0" applyFont="1" applyFill="1" applyBorder="1" applyAlignment="1">
      <alignment vertical="center" wrapText="1" shrinkToFit="1"/>
    </xf>
    <xf numFmtId="0" fontId="13" fillId="0" borderId="0" xfId="0" applyFont="1" applyFill="1" applyAlignment="1">
      <alignment vertical="center"/>
    </xf>
    <xf numFmtId="179" fontId="9" fillId="0" borderId="3" xfId="0" applyNumberFormat="1" applyFont="1" applyFill="1" applyBorder="1" applyAlignment="1">
      <alignment horizontal="center" vertical="center" wrapText="1"/>
    </xf>
    <xf numFmtId="0" fontId="8" fillId="0" borderId="0" xfId="0" applyFont="1" applyFill="1" applyAlignment="1">
      <alignment vertical="center" wrapText="1" shrinkToFit="1"/>
    </xf>
    <xf numFmtId="0" fontId="9" fillId="0" borderId="1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1" fillId="0" borderId="13" xfId="0" applyFont="1" applyFill="1" applyBorder="1" applyAlignment="1">
      <alignmen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1" fontId="9"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7" xfId="0" applyFont="1" applyFill="1" applyBorder="1" applyAlignment="1">
      <alignment horizontal="left" vertical="center" wrapText="1"/>
    </xf>
    <xf numFmtId="0" fontId="0" fillId="0" borderId="13" xfId="0" applyFill="1" applyBorder="1" applyAlignment="1">
      <alignment horizontal="left" vertical="center" wrapText="1"/>
    </xf>
    <xf numFmtId="0" fontId="9" fillId="0" borderId="17"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10"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center" vertical="center"/>
    </xf>
    <xf numFmtId="0" fontId="9" fillId="0" borderId="0" xfId="0" applyFont="1" applyFill="1" applyAlignment="1">
      <alignment horizontal="left" vertic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8"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8" fillId="0" borderId="14" xfId="0"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0" fontId="8" fillId="0" borderId="16" xfId="0" applyFont="1" applyFill="1" applyBorder="1" applyAlignment="1" applyProtection="1">
      <alignment horizontal="center"/>
      <protection locked="0"/>
    </xf>
    <xf numFmtId="0" fontId="8" fillId="0" borderId="1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171" fontId="9" fillId="0" borderId="0" xfId="0" applyNumberFormat="1" applyFont="1" applyFill="1" applyBorder="1" applyAlignment="1">
      <alignment horizontal="left" vertical="center" wrapText="1"/>
    </xf>
    <xf numFmtId="171" fontId="9" fillId="0" borderId="0" xfId="0" quotePrefix="1" applyNumberFormat="1" applyFont="1" applyFill="1" applyBorder="1" applyAlignment="1">
      <alignment horizontal="left" vertical="center" wrapText="1"/>
    </xf>
    <xf numFmtId="0" fontId="9" fillId="0" borderId="0" xfId="0" applyFont="1" applyFill="1" applyBorder="1" applyAlignment="1">
      <alignment vertical="center"/>
    </xf>
    <xf numFmtId="0" fontId="8" fillId="0" borderId="3" xfId="240" applyNumberFormat="1" applyFont="1" applyFill="1" applyBorder="1" applyAlignment="1">
      <alignment horizontal="center" vertical="center" wrapText="1"/>
    </xf>
    <xf numFmtId="182" fontId="8" fillId="0" borderId="3" xfId="0"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249" applyFont="1" applyFill="1" applyBorder="1" applyAlignment="1">
      <alignment horizontal="center" vertical="center"/>
    </xf>
    <xf numFmtId="0" fontId="9" fillId="0" borderId="3" xfId="249" applyFont="1" applyFill="1" applyBorder="1" applyAlignment="1">
      <alignment horizontal="center" vertical="center" wrapText="1"/>
    </xf>
    <xf numFmtId="180" fontId="9" fillId="0" borderId="3" xfId="249" applyNumberFormat="1"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8" fillId="0" borderId="3" xfId="249" applyFont="1" applyFill="1" applyBorder="1" applyAlignment="1">
      <alignment horizontal="left" vertical="center" wrapText="1"/>
    </xf>
    <xf numFmtId="0" fontId="9" fillId="0" borderId="18" xfId="249" applyFont="1" applyFill="1" applyBorder="1" applyAlignment="1">
      <alignment horizontal="center" vertical="center" wrapText="1"/>
    </xf>
    <xf numFmtId="0" fontId="9" fillId="0" borderId="19" xfId="249" applyFont="1" applyFill="1" applyBorder="1" applyAlignment="1">
      <alignment horizontal="center" vertical="center" wrapText="1"/>
    </xf>
    <xf numFmtId="0" fontId="8" fillId="0" borderId="0" xfId="240" applyNumberFormat="1" applyFont="1" applyFill="1" applyBorder="1" applyAlignment="1">
      <alignment horizontal="center" vertical="center" wrapText="1"/>
    </xf>
    <xf numFmtId="0" fontId="9" fillId="0" borderId="18" xfId="240" applyNumberFormat="1" applyFont="1" applyFill="1" applyBorder="1" applyAlignment="1">
      <alignment horizontal="center" vertical="center" wrapText="1"/>
    </xf>
    <xf numFmtId="0" fontId="9" fillId="0" borderId="19" xfId="240" applyNumberFormat="1" applyFont="1" applyFill="1" applyBorder="1" applyAlignment="1">
      <alignment horizontal="center" vertical="center" wrapText="1"/>
    </xf>
    <xf numFmtId="0" fontId="9" fillId="29" borderId="0" xfId="0" applyFont="1" applyFill="1" applyAlignment="1">
      <alignment horizontal="center" vertical="center"/>
    </xf>
    <xf numFmtId="0" fontId="9" fillId="29" borderId="18" xfId="240" applyNumberFormat="1" applyFont="1" applyFill="1" applyBorder="1" applyAlignment="1">
      <alignment horizontal="center" vertical="center" wrapText="1"/>
    </xf>
    <xf numFmtId="0" fontId="9" fillId="29" borderId="19" xfId="240" applyNumberFormat="1" applyFont="1" applyFill="1" applyBorder="1" applyAlignment="1">
      <alignment horizontal="center" vertical="center" wrapText="1"/>
    </xf>
    <xf numFmtId="0" fontId="9" fillId="29" borderId="18" xfId="0" applyFont="1" applyFill="1" applyBorder="1" applyAlignment="1">
      <alignment horizontal="center" vertical="center" wrapText="1"/>
    </xf>
    <xf numFmtId="0" fontId="9" fillId="29" borderId="19" xfId="0" applyFont="1" applyFill="1" applyBorder="1" applyAlignment="1">
      <alignment horizontal="center" vertical="center" wrapText="1"/>
    </xf>
    <xf numFmtId="171" fontId="9" fillId="29" borderId="0" xfId="0" applyNumberFormat="1" applyFont="1" applyFill="1" applyBorder="1" applyAlignment="1">
      <alignment horizontal="left" vertical="center" wrapText="1"/>
    </xf>
    <xf numFmtId="171" fontId="9" fillId="29" borderId="0" xfId="0" quotePrefix="1" applyNumberFormat="1" applyFont="1" applyFill="1" applyBorder="1" applyAlignment="1">
      <alignment horizontal="left" vertical="center" wrapText="1"/>
    </xf>
    <xf numFmtId="0" fontId="9" fillId="29" borderId="0" xfId="0" applyFont="1" applyFill="1" applyBorder="1" applyAlignment="1">
      <alignment horizontal="left" vertical="center"/>
    </xf>
    <xf numFmtId="0" fontId="9" fillId="29" borderId="18" xfId="0" applyFont="1" applyFill="1" applyBorder="1" applyAlignment="1">
      <alignment horizontal="center" vertical="center" wrapText="1" shrinkToFit="1"/>
    </xf>
    <xf numFmtId="0" fontId="9" fillId="29" borderId="19" xfId="0" applyFont="1" applyFill="1" applyBorder="1" applyAlignment="1">
      <alignment horizontal="center" vertical="center" wrapText="1" shrinkToFit="1"/>
    </xf>
    <xf numFmtId="178" fontId="9" fillId="0" borderId="14" xfId="0" applyNumberFormat="1" applyFont="1" applyFill="1" applyBorder="1" applyAlignment="1">
      <alignment horizontal="center" vertical="center" wrapText="1"/>
    </xf>
    <xf numFmtId="178" fontId="9" fillId="0" borderId="16"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6" xfId="0" applyFont="1" applyFill="1" applyBorder="1" applyAlignment="1">
      <alignment horizontal="left" vertical="center" wrapText="1"/>
    </xf>
    <xf numFmtId="179" fontId="9" fillId="0" borderId="14" xfId="0" applyNumberFormat="1" applyFont="1" applyFill="1" applyBorder="1" applyAlignment="1">
      <alignment horizontal="center" vertical="center" wrapText="1"/>
    </xf>
    <xf numFmtId="179" fontId="9" fillId="0" borderId="16" xfId="0" applyNumberFormat="1" applyFont="1" applyFill="1" applyBorder="1" applyAlignment="1">
      <alignment horizontal="center" vertical="center" wrapText="1"/>
    </xf>
    <xf numFmtId="179" fontId="8" fillId="0" borderId="14" xfId="0" applyNumberFormat="1" applyFont="1" applyFill="1" applyBorder="1" applyAlignment="1">
      <alignment horizontal="center" vertical="center" wrapText="1"/>
    </xf>
    <xf numFmtId="179" fontId="8" fillId="0" borderId="16" xfId="0" applyNumberFormat="1" applyFont="1" applyFill="1" applyBorder="1" applyAlignment="1">
      <alignment horizontal="center" vertical="center" wrapText="1"/>
    </xf>
    <xf numFmtId="178" fontId="8" fillId="0" borderId="14" xfId="0" applyNumberFormat="1" applyFont="1" applyFill="1" applyBorder="1" applyAlignment="1">
      <alignment horizontal="center" vertical="center" wrapText="1"/>
    </xf>
    <xf numFmtId="178" fontId="8" fillId="0" borderId="16"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vertical="center"/>
    </xf>
    <xf numFmtId="0" fontId="16" fillId="0" borderId="0" xfId="0" applyFont="1" applyFill="1" applyBorder="1" applyAlignment="1">
      <alignment horizontal="center" vertical="center"/>
    </xf>
    <xf numFmtId="0" fontId="9" fillId="0" borderId="0" xfId="0" applyFont="1" applyFill="1" applyAlignment="1">
      <alignmen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0" xfId="0" applyFont="1" applyFill="1" applyBorder="1" applyAlignment="1">
      <alignment horizontal="justify" vertical="center" wrapText="1" shrinkToFit="1"/>
    </xf>
    <xf numFmtId="178" fontId="9" fillId="0" borderId="14" xfId="0" applyNumberFormat="1" applyFont="1" applyFill="1" applyBorder="1" applyAlignment="1">
      <alignment horizontal="right" vertical="center" wrapText="1"/>
    </xf>
    <xf numFmtId="178" fontId="9" fillId="0" borderId="16" xfId="0" applyNumberFormat="1" applyFont="1" applyFill="1" applyBorder="1" applyAlignment="1">
      <alignment horizontal="right" vertical="center" wrapText="1"/>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3"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6" xfId="0" applyFont="1" applyFill="1" applyBorder="1" applyAlignment="1">
      <alignment horizontal="center" vertical="center"/>
    </xf>
    <xf numFmtId="3"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xf>
    <xf numFmtId="179" fontId="9" fillId="0" borderId="3" xfId="0" applyNumberFormat="1" applyFont="1" applyFill="1" applyBorder="1" applyAlignment="1">
      <alignment horizontal="center" vertical="center" wrapText="1"/>
    </xf>
    <xf numFmtId="171" fontId="9" fillId="0" borderId="3" xfId="0" applyNumberFormat="1" applyFont="1" applyFill="1" applyBorder="1" applyAlignment="1">
      <alignment horizontal="center" vertical="center" wrapText="1"/>
    </xf>
    <xf numFmtId="179" fontId="8" fillId="0" borderId="3" xfId="0" applyNumberFormat="1" applyFont="1" applyFill="1" applyBorder="1" applyAlignment="1">
      <alignment horizontal="center" vertical="center" wrapText="1"/>
    </xf>
    <xf numFmtId="179" fontId="9" fillId="0" borderId="15"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3" fontId="9" fillId="0" borderId="14"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171" fontId="9" fillId="0" borderId="14" xfId="0" applyNumberFormat="1" applyFont="1" applyFill="1" applyBorder="1" applyAlignment="1">
      <alignment horizontal="center" vertical="center" wrapText="1"/>
    </xf>
    <xf numFmtId="171" fontId="9" fillId="0" borderId="16"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170" fontId="9" fillId="0" borderId="14" xfId="0" applyNumberFormat="1" applyFont="1" applyFill="1" applyBorder="1" applyAlignment="1">
      <alignment horizontal="center" vertical="center" wrapText="1"/>
    </xf>
    <xf numFmtId="170" fontId="9" fillId="0" borderId="16"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85" fillId="0" borderId="14" xfId="0" applyFont="1" applyFill="1" applyBorder="1" applyAlignment="1">
      <alignment horizontal="left" vertical="center" wrapText="1"/>
    </xf>
    <xf numFmtId="0" fontId="85" fillId="0" borderId="15" xfId="0" applyFont="1" applyFill="1" applyBorder="1" applyAlignment="1">
      <alignment horizontal="left" vertical="center" wrapText="1"/>
    </xf>
    <xf numFmtId="0" fontId="85" fillId="0" borderId="16" xfId="0" applyFont="1" applyFill="1" applyBorder="1" applyAlignment="1">
      <alignment horizontal="left" vertical="center" wrapText="1"/>
    </xf>
    <xf numFmtId="0" fontId="8" fillId="0" borderId="50" xfId="240" applyFont="1" applyFill="1" applyBorder="1" applyAlignment="1">
      <alignment vertical="center" wrapText="1"/>
    </xf>
    <xf numFmtId="0" fontId="8" fillId="0" borderId="42" xfId="240" applyFont="1" applyFill="1" applyBorder="1" applyAlignment="1">
      <alignment vertical="center" wrapText="1"/>
    </xf>
    <xf numFmtId="0" fontId="8" fillId="0" borderId="43" xfId="240" applyFont="1" applyFill="1" applyBorder="1" applyAlignment="1">
      <alignment vertical="center" wrapText="1"/>
    </xf>
    <xf numFmtId="0" fontId="9" fillId="0" borderId="14" xfId="240" applyFont="1" applyFill="1" applyBorder="1" applyAlignment="1">
      <alignment vertical="center" wrapText="1"/>
    </xf>
    <xf numFmtId="0" fontId="9" fillId="0" borderId="15" xfId="240" applyFont="1" applyFill="1" applyBorder="1" applyAlignment="1">
      <alignment vertical="center" wrapText="1"/>
    </xf>
    <xf numFmtId="0" fontId="9" fillId="0" borderId="16" xfId="240" applyFont="1" applyFill="1" applyBorder="1" applyAlignment="1">
      <alignment vertical="center" wrapText="1"/>
    </xf>
    <xf numFmtId="0" fontId="9" fillId="0" borderId="45" xfId="240" applyFont="1" applyFill="1" applyBorder="1" applyAlignment="1">
      <alignment vertical="center" wrapText="1"/>
    </xf>
    <xf numFmtId="0" fontId="9" fillId="0" borderId="46" xfId="240" applyFont="1" applyFill="1" applyBorder="1" applyAlignment="1">
      <alignment vertical="center" wrapText="1"/>
    </xf>
    <xf numFmtId="0" fontId="9" fillId="0" borderId="47" xfId="240" applyFont="1" applyFill="1" applyBorder="1" applyAlignment="1">
      <alignment vertical="center" wrapText="1"/>
    </xf>
    <xf numFmtId="0" fontId="9" fillId="0" borderId="41" xfId="240" applyFont="1" applyFill="1" applyBorder="1" applyAlignment="1">
      <alignment horizontal="left" vertical="center" wrapText="1"/>
    </xf>
    <xf numFmtId="0" fontId="9" fillId="0" borderId="42" xfId="240" applyFont="1" applyFill="1" applyBorder="1" applyAlignment="1">
      <alignment horizontal="left" vertical="center" wrapText="1"/>
    </xf>
    <xf numFmtId="0" fontId="9" fillId="0" borderId="43" xfId="240" applyFont="1" applyFill="1" applyBorder="1" applyAlignment="1">
      <alignment horizontal="left" vertical="center" wrapText="1"/>
    </xf>
    <xf numFmtId="0" fontId="86" fillId="0" borderId="41" xfId="240" applyFont="1" applyFill="1" applyBorder="1" applyAlignment="1">
      <alignment vertical="center" wrapText="1"/>
    </xf>
    <xf numFmtId="0" fontId="86" fillId="0" borderId="42" xfId="240" applyFont="1" applyFill="1" applyBorder="1" applyAlignment="1">
      <alignment vertical="center" wrapText="1"/>
    </xf>
    <xf numFmtId="0" fontId="86" fillId="0" borderId="43" xfId="240" applyFont="1" applyFill="1" applyBorder="1" applyAlignment="1">
      <alignment vertical="center" wrapText="1"/>
    </xf>
    <xf numFmtId="3" fontId="8" fillId="0" borderId="28"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30" xfId="0" applyNumberFormat="1" applyFont="1" applyFill="1" applyBorder="1" applyAlignment="1">
      <alignment horizontal="left" vertical="center" wrapText="1"/>
    </xf>
    <xf numFmtId="0" fontId="8" fillId="0" borderId="49" xfId="240" applyFont="1" applyFill="1" applyBorder="1" applyAlignment="1">
      <alignment vertical="center" wrapText="1"/>
    </xf>
    <xf numFmtId="0" fontId="8" fillId="0" borderId="15" xfId="240" applyFont="1" applyFill="1" applyBorder="1" applyAlignment="1">
      <alignment vertical="center" wrapText="1"/>
    </xf>
    <xf numFmtId="0" fontId="8" fillId="0" borderId="16" xfId="240" applyFont="1" applyFill="1" applyBorder="1" applyAlignment="1">
      <alignment vertical="center" wrapText="1"/>
    </xf>
    <xf numFmtId="0" fontId="85" fillId="0" borderId="14" xfId="0" applyFont="1" applyFill="1" applyBorder="1" applyAlignment="1">
      <alignment horizontal="left"/>
    </xf>
    <xf numFmtId="0" fontId="85" fillId="0" borderId="15" xfId="0" applyFont="1" applyFill="1" applyBorder="1" applyAlignment="1">
      <alignment horizontal="left"/>
    </xf>
    <xf numFmtId="0" fontId="85" fillId="0" borderId="16" xfId="0" applyFont="1" applyFill="1" applyBorder="1" applyAlignment="1">
      <alignment horizontal="left"/>
    </xf>
    <xf numFmtId="0" fontId="8" fillId="0" borderId="48" xfId="240" applyFont="1" applyFill="1" applyBorder="1" applyAlignment="1">
      <alignment vertical="center" wrapText="1"/>
    </xf>
    <xf numFmtId="0" fontId="8" fillId="0" borderId="46" xfId="240" applyFont="1" applyFill="1" applyBorder="1" applyAlignment="1">
      <alignment vertical="center" wrapText="1"/>
    </xf>
    <xf numFmtId="0" fontId="8" fillId="0" borderId="47" xfId="240" applyFont="1" applyFill="1" applyBorder="1" applyAlignment="1">
      <alignment vertical="center" wrapText="1"/>
    </xf>
    <xf numFmtId="0" fontId="9" fillId="0" borderId="41" xfId="240" applyFont="1" applyFill="1" applyBorder="1" applyAlignment="1">
      <alignment vertical="center" wrapText="1"/>
    </xf>
    <xf numFmtId="0" fontId="9" fillId="0" borderId="42" xfId="240" applyFont="1" applyFill="1" applyBorder="1" applyAlignment="1">
      <alignment vertical="center" wrapText="1"/>
    </xf>
    <xf numFmtId="0" fontId="9" fillId="0" borderId="43" xfId="240" applyFont="1" applyFill="1" applyBorder="1" applyAlignment="1">
      <alignment vertical="center" wrapText="1"/>
    </xf>
    <xf numFmtId="0" fontId="9" fillId="0" borderId="2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78" fillId="0" borderId="0" xfId="0" applyFont="1" applyFill="1" applyBorder="1" applyAlignment="1">
      <alignment vertical="center" wrapText="1"/>
    </xf>
    <xf numFmtId="0" fontId="79" fillId="0" borderId="0" xfId="0" applyFont="1" applyFill="1" applyBorder="1" applyAlignment="1">
      <alignment horizontal="center"/>
    </xf>
    <xf numFmtId="1" fontId="9" fillId="0" borderId="14" xfId="0" applyNumberFormat="1" applyFont="1" applyFill="1" applyBorder="1" applyAlignment="1">
      <alignment vertical="center" wrapText="1"/>
    </xf>
    <xf numFmtId="1" fontId="9" fillId="0" borderId="16" xfId="0" applyNumberFormat="1" applyFont="1" applyFill="1" applyBorder="1" applyAlignment="1">
      <alignment vertical="center" wrapText="1"/>
    </xf>
    <xf numFmtId="175" fontId="8" fillId="0" borderId="14" xfId="0" applyNumberFormat="1" applyFont="1" applyFill="1" applyBorder="1" applyAlignment="1">
      <alignment vertical="center" wrapText="1"/>
    </xf>
    <xf numFmtId="175" fontId="8" fillId="0" borderId="16" xfId="0" applyNumberFormat="1" applyFont="1" applyFill="1" applyBorder="1" applyAlignment="1">
      <alignment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0" fontId="78" fillId="0" borderId="0" xfId="0" applyFont="1" applyFill="1" applyBorder="1" applyAlignment="1">
      <alignment horizontal="center" vertical="center" wrapText="1"/>
    </xf>
    <xf numFmtId="0" fontId="9" fillId="0" borderId="18" xfId="0" applyFont="1" applyFill="1" applyBorder="1" applyAlignment="1">
      <alignment vertical="center" wrapText="1" shrinkToFit="1"/>
    </xf>
    <xf numFmtId="0" fontId="9" fillId="0" borderId="19" xfId="0" applyFont="1" applyFill="1" applyBorder="1" applyAlignment="1">
      <alignment vertical="center" wrapText="1" shrinkToFit="1"/>
    </xf>
    <xf numFmtId="0" fontId="9" fillId="0" borderId="27" xfId="0" applyFont="1" applyFill="1" applyBorder="1" applyAlignment="1">
      <alignment vertical="center" wrapText="1"/>
    </xf>
    <xf numFmtId="0" fontId="9" fillId="0" borderId="17" xfId="0" applyFont="1" applyFill="1" applyBorder="1" applyAlignment="1">
      <alignment vertical="center" wrapText="1"/>
    </xf>
    <xf numFmtId="0" fontId="9" fillId="0" borderId="33" xfId="0" applyFont="1" applyFill="1" applyBorder="1" applyAlignment="1">
      <alignment vertical="center" wrapText="1"/>
    </xf>
    <xf numFmtId="0" fontId="9" fillId="0" borderId="25"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178" fontId="16" fillId="0" borderId="14" xfId="0" applyNumberFormat="1" applyFont="1" applyFill="1" applyBorder="1" applyAlignment="1">
      <alignment horizontal="center" vertical="center" wrapText="1"/>
    </xf>
    <xf numFmtId="178" fontId="16" fillId="0" borderId="15" xfId="0" applyNumberFormat="1" applyFont="1" applyFill="1" applyBorder="1" applyAlignment="1">
      <alignment horizontal="center" vertical="center" wrapText="1"/>
    </xf>
    <xf numFmtId="178" fontId="16" fillId="0" borderId="16" xfId="0" applyNumberFormat="1" applyFont="1" applyFill="1" applyBorder="1" applyAlignment="1">
      <alignment horizontal="center" vertical="center" wrapText="1"/>
    </xf>
    <xf numFmtId="179" fontId="16" fillId="0" borderId="14" xfId="0" applyNumberFormat="1" applyFont="1" applyFill="1" applyBorder="1" applyAlignment="1">
      <alignment horizontal="center" vertical="center" wrapText="1"/>
    </xf>
    <xf numFmtId="179" fontId="16" fillId="0" borderId="15" xfId="0" applyNumberFormat="1" applyFont="1" applyFill="1" applyBorder="1" applyAlignment="1">
      <alignment horizontal="center" vertical="center" wrapText="1"/>
    </xf>
    <xf numFmtId="179" fontId="16" fillId="0" borderId="16" xfId="0" applyNumberFormat="1"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178" fontId="8" fillId="0" borderId="15" xfId="0" applyNumberFormat="1" applyFont="1" applyFill="1" applyBorder="1" applyAlignment="1">
      <alignment horizontal="center" vertical="center" wrapText="1"/>
    </xf>
    <xf numFmtId="1" fontId="16" fillId="0" borderId="14" xfId="0" applyNumberFormat="1" applyFont="1" applyFill="1" applyBorder="1" applyAlignment="1">
      <alignment horizontal="right" wrapText="1"/>
    </xf>
    <xf numFmtId="1" fontId="16" fillId="0" borderId="15" xfId="0" applyNumberFormat="1" applyFont="1" applyFill="1" applyBorder="1" applyAlignment="1">
      <alignment horizontal="right" wrapText="1"/>
    </xf>
    <xf numFmtId="1" fontId="16" fillId="0" borderId="16" xfId="0" applyNumberFormat="1" applyFont="1" applyFill="1" applyBorder="1" applyAlignment="1">
      <alignment horizontal="right" wrapText="1"/>
    </xf>
    <xf numFmtId="49" fontId="9" fillId="0" borderId="27"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4" xfId="0" applyFont="1" applyFill="1" applyBorder="1" applyAlignment="1">
      <alignment horizontal="center" vertical="center" wrapText="1"/>
    </xf>
    <xf numFmtId="178" fontId="92" fillId="0" borderId="14" xfId="0" applyNumberFormat="1" applyFont="1" applyFill="1" applyBorder="1" applyAlignment="1">
      <alignment horizontal="center" vertical="center" wrapText="1"/>
    </xf>
    <xf numFmtId="178" fontId="92" fillId="0" borderId="15" xfId="0" applyNumberFormat="1" applyFont="1" applyFill="1" applyBorder="1" applyAlignment="1">
      <alignment horizontal="center" vertical="center" wrapText="1"/>
    </xf>
    <xf numFmtId="178" fontId="92" fillId="0" borderId="16"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7" xfId="0" applyFont="1" applyFill="1" applyBorder="1" applyAlignment="1">
      <alignment horizontal="center" vertical="center" wrapText="1"/>
    </xf>
    <xf numFmtId="49" fontId="16" fillId="0" borderId="14" xfId="0" applyNumberFormat="1" applyFont="1" applyFill="1" applyBorder="1" applyAlignment="1">
      <alignment horizontal="left" vertical="center" wrapText="1"/>
    </xf>
    <xf numFmtId="49" fontId="16" fillId="0" borderId="15" xfId="0" applyNumberFormat="1" applyFont="1" applyFill="1" applyBorder="1" applyAlignment="1">
      <alignment horizontal="left" vertical="center" wrapText="1"/>
    </xf>
    <xf numFmtId="49" fontId="16" fillId="0" borderId="16" xfId="0" applyNumberFormat="1" applyFont="1" applyFill="1" applyBorder="1" applyAlignment="1">
      <alignment horizontal="left" vertical="center" wrapText="1"/>
    </xf>
    <xf numFmtId="0" fontId="9" fillId="0" borderId="32" xfId="0" applyFont="1" applyFill="1" applyBorder="1" applyAlignment="1">
      <alignment horizontal="center" vertical="center" wrapText="1"/>
    </xf>
    <xf numFmtId="0" fontId="9" fillId="0" borderId="3" xfId="0" applyFont="1" applyFill="1" applyBorder="1" applyAlignment="1">
      <alignment vertical="center" wrapText="1"/>
    </xf>
    <xf numFmtId="1" fontId="8" fillId="0" borderId="14" xfId="0" applyNumberFormat="1" applyFont="1" applyFill="1" applyBorder="1" applyAlignment="1">
      <alignment horizontal="right" wrapText="1" shrinkToFit="1"/>
    </xf>
    <xf numFmtId="1" fontId="8" fillId="0" borderId="15" xfId="0" applyNumberFormat="1" applyFont="1" applyFill="1" applyBorder="1" applyAlignment="1">
      <alignment horizontal="right" wrapText="1" shrinkToFit="1"/>
    </xf>
    <xf numFmtId="1" fontId="8" fillId="0" borderId="16" xfId="0" applyNumberFormat="1" applyFont="1" applyFill="1" applyBorder="1" applyAlignment="1">
      <alignment horizontal="right" wrapText="1" shrinkToFit="1"/>
    </xf>
    <xf numFmtId="179" fontId="18" fillId="0" borderId="14" xfId="0" applyNumberFormat="1" applyFont="1" applyFill="1" applyBorder="1" applyAlignment="1">
      <alignment horizontal="left" vertical="center" wrapText="1"/>
    </xf>
    <xf numFmtId="179" fontId="18" fillId="0" borderId="15" xfId="0" applyNumberFormat="1" applyFont="1" applyFill="1" applyBorder="1" applyAlignment="1">
      <alignment horizontal="left" vertical="center" wrapText="1"/>
    </xf>
    <xf numFmtId="179" fontId="18" fillId="0" borderId="16" xfId="0" applyNumberFormat="1" applyFont="1" applyFill="1" applyBorder="1" applyAlignment="1">
      <alignment horizontal="left" vertical="center" wrapText="1"/>
    </xf>
    <xf numFmtId="49" fontId="9" fillId="0" borderId="3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178" fontId="93" fillId="0" borderId="14" xfId="0" applyNumberFormat="1" applyFont="1" applyFill="1" applyBorder="1" applyAlignment="1">
      <alignment horizontal="center" vertical="center" wrapText="1"/>
    </xf>
    <xf numFmtId="178" fontId="93" fillId="0" borderId="15" xfId="0" applyNumberFormat="1" applyFont="1" applyFill="1" applyBorder="1" applyAlignment="1">
      <alignment horizontal="center" vertical="center" wrapText="1"/>
    </xf>
    <xf numFmtId="178" fontId="93" fillId="0" borderId="16"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9" fillId="0" borderId="36"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 xfId="0" applyFont="1" applyFill="1" applyBorder="1" applyAlignment="1">
      <alignment vertical="center" wrapText="1" shrinkToFit="1"/>
    </xf>
    <xf numFmtId="49" fontId="8" fillId="0" borderId="3"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8" fillId="0" borderId="44" xfId="240" applyFont="1" applyFill="1" applyBorder="1" applyAlignment="1">
      <alignment vertical="center" wrapText="1"/>
    </xf>
    <xf numFmtId="0" fontId="9" fillId="0" borderId="31" xfId="0" applyFont="1" applyFill="1" applyBorder="1" applyAlignment="1">
      <alignment vertical="center" wrapText="1"/>
    </xf>
  </cellXfs>
  <cellStyles count="563">
    <cellStyle name="_Fakt_2" xfId="1"/>
    <cellStyle name="_rozhufrovka 2009" xfId="2"/>
    <cellStyle name="_АТиСТ 5а МТР липень 2008" xfId="3"/>
    <cellStyle name="_ПРГК сводний_" xfId="4"/>
    <cellStyle name="_УТГ" xfId="5"/>
    <cellStyle name="_Феодосия 5а МТР липень 2008" xfId="6"/>
    <cellStyle name="_ХТГ довідка." xfId="7"/>
    <cellStyle name="_Шебелинка 5а МТР липень 2008" xfId="8"/>
    <cellStyle name="20% - Accent1" xfId="9"/>
    <cellStyle name="20% - Accent2" xfId="10"/>
    <cellStyle name="20% - Accent3" xfId="11"/>
    <cellStyle name="20% - Accent4" xfId="12"/>
    <cellStyle name="20% - Accent5" xfId="13"/>
    <cellStyle name="20% - Accent6" xfId="14"/>
    <cellStyle name="20% - Акцент1 2" xfId="15"/>
    <cellStyle name="20% - Акцент1 3" xfId="16"/>
    <cellStyle name="20% - Акцент2 2" xfId="17"/>
    <cellStyle name="20% - Акцент2 3" xfId="18"/>
    <cellStyle name="20% - Акцент3 2" xfId="19"/>
    <cellStyle name="20% - Акцент3 3" xfId="20"/>
    <cellStyle name="20% - Акцент4 2" xfId="21"/>
    <cellStyle name="20% - Акцент4 3" xfId="22"/>
    <cellStyle name="20% - Акцент5 2" xfId="23"/>
    <cellStyle name="20% - Акцент5 3" xfId="24"/>
    <cellStyle name="20% - Акцент6 2" xfId="25"/>
    <cellStyle name="20% - Акцент6 3" xfId="26"/>
    <cellStyle name="40% - Accent1" xfId="27"/>
    <cellStyle name="40% - Accent2" xfId="28"/>
    <cellStyle name="40% - Accent3" xfId="29"/>
    <cellStyle name="40% - Accent4" xfId="30"/>
    <cellStyle name="40% - Accent5" xfId="31"/>
    <cellStyle name="40% - Accent6" xfId="32"/>
    <cellStyle name="40% - Акцент1 2" xfId="33"/>
    <cellStyle name="40% - Акцент1 3" xfId="34"/>
    <cellStyle name="40% - Акцент2 2" xfId="35"/>
    <cellStyle name="40% - Акцент2 3" xfId="36"/>
    <cellStyle name="40% - Акцент3 2" xfId="37"/>
    <cellStyle name="40% - Акцент3 3" xfId="38"/>
    <cellStyle name="40% - Акцент4 2" xfId="39"/>
    <cellStyle name="40% - Акцент4 3" xfId="40"/>
    <cellStyle name="40% - Акцент5 2" xfId="41"/>
    <cellStyle name="40% - Акцент5 3" xfId="42"/>
    <cellStyle name="40% - Акцент6 2" xfId="43"/>
    <cellStyle name="40% - Акцент6 3" xfId="44"/>
    <cellStyle name="60% - Accent1" xfId="45"/>
    <cellStyle name="60% - Accent2" xfId="46"/>
    <cellStyle name="60% - Accent3" xfId="47"/>
    <cellStyle name="60% - Accent4" xfId="48"/>
    <cellStyle name="60% - Accent5" xfId="49"/>
    <cellStyle name="60% - Accent6" xfId="50"/>
    <cellStyle name="60% - Акцент1 2" xfId="51"/>
    <cellStyle name="60% - Акцент1 3" xfId="52"/>
    <cellStyle name="60% - Акцент2 2" xfId="53"/>
    <cellStyle name="60% - Акцент2 3" xfId="54"/>
    <cellStyle name="60% - Акцент3 2" xfId="55"/>
    <cellStyle name="60% - Акцент3 3" xfId="56"/>
    <cellStyle name="60% - Акцент4 2" xfId="57"/>
    <cellStyle name="60% - Акцент4 3" xfId="58"/>
    <cellStyle name="60% - Акцент5 2" xfId="59"/>
    <cellStyle name="60% - Акцент5 3" xfId="60"/>
    <cellStyle name="60% - Акцент6 2" xfId="61"/>
    <cellStyle name="60% - Акцент6 3"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Column-Header" xfId="72"/>
    <cellStyle name="Column-Header 2" xfId="73"/>
    <cellStyle name="Column-Header 3" xfId="74"/>
    <cellStyle name="Column-Header 4" xfId="75"/>
    <cellStyle name="Column-Header 5" xfId="76"/>
    <cellStyle name="Column-Header 6" xfId="77"/>
    <cellStyle name="Column-Header 7" xfId="78"/>
    <cellStyle name="Column-Header 7 2" xfId="79"/>
    <cellStyle name="Column-Header 8" xfId="80"/>
    <cellStyle name="Column-Header 8 2" xfId="81"/>
    <cellStyle name="Column-Header 9" xfId="82"/>
    <cellStyle name="Column-Header 9 2" xfId="83"/>
    <cellStyle name="Column-Header_Zvit rux-koshtiv 2010 Департамент " xfId="84"/>
    <cellStyle name="Comma_2005_03_15-Финансовый_БГ" xfId="85"/>
    <cellStyle name="Define-Column" xfId="86"/>
    <cellStyle name="Define-Column 10" xfId="87"/>
    <cellStyle name="Define-Column 2" xfId="88"/>
    <cellStyle name="Define-Column 3" xfId="89"/>
    <cellStyle name="Define-Column 4" xfId="90"/>
    <cellStyle name="Define-Column 5" xfId="91"/>
    <cellStyle name="Define-Column 6" xfId="92"/>
    <cellStyle name="Define-Column 7" xfId="93"/>
    <cellStyle name="Define-Column 7 2" xfId="94"/>
    <cellStyle name="Define-Column 7 3" xfId="95"/>
    <cellStyle name="Define-Column 8" xfId="96"/>
    <cellStyle name="Define-Column 8 2" xfId="97"/>
    <cellStyle name="Define-Column 8 3" xfId="98"/>
    <cellStyle name="Define-Column 9" xfId="99"/>
    <cellStyle name="Define-Column 9 2" xfId="100"/>
    <cellStyle name="Define-Column 9 3" xfId="101"/>
    <cellStyle name="Define-Column_Zvit rux-koshtiv 2010 Департамент " xfId="102"/>
    <cellStyle name="Excel Built-in Excel Built-in Обычный_прочие 08 финпл 13.04.07" xfId="103"/>
    <cellStyle name="Explanatory Text" xfId="104"/>
    <cellStyle name="FS10" xfId="105"/>
    <cellStyle name="Good" xfId="106"/>
    <cellStyle name="Heading 1" xfId="107"/>
    <cellStyle name="Heading 2" xfId="108"/>
    <cellStyle name="Heading 3" xfId="109"/>
    <cellStyle name="Heading 4" xfId="110"/>
    <cellStyle name="Hyperlink 2" xfId="111"/>
    <cellStyle name="Input" xfId="112"/>
    <cellStyle name="Level0" xfId="113"/>
    <cellStyle name="Level0 10" xfId="114"/>
    <cellStyle name="Level0 2" xfId="115"/>
    <cellStyle name="Level0 2 2" xfId="116"/>
    <cellStyle name="Level0 3" xfId="117"/>
    <cellStyle name="Level0 3 2" xfId="118"/>
    <cellStyle name="Level0 4" xfId="119"/>
    <cellStyle name="Level0 4 2" xfId="120"/>
    <cellStyle name="Level0 5" xfId="121"/>
    <cellStyle name="Level0 6" xfId="122"/>
    <cellStyle name="Level0 7" xfId="123"/>
    <cellStyle name="Level0 7 2" xfId="124"/>
    <cellStyle name="Level0 7 3" xfId="125"/>
    <cellStyle name="Level0 8" xfId="126"/>
    <cellStyle name="Level0 8 2" xfId="127"/>
    <cellStyle name="Level0 8 3" xfId="128"/>
    <cellStyle name="Level0 9" xfId="129"/>
    <cellStyle name="Level0 9 2" xfId="130"/>
    <cellStyle name="Level0 9 3" xfId="131"/>
    <cellStyle name="Level0_Zvit rux-koshtiv 2010 Департамент " xfId="132"/>
    <cellStyle name="Level1" xfId="133"/>
    <cellStyle name="Level1 2" xfId="134"/>
    <cellStyle name="Level1-Numbers" xfId="135"/>
    <cellStyle name="Level1-Numbers 2" xfId="136"/>
    <cellStyle name="Level1-Numbers-Hide" xfId="137"/>
    <cellStyle name="Level2" xfId="138"/>
    <cellStyle name="Level2 2" xfId="139"/>
    <cellStyle name="Level2-Hide" xfId="140"/>
    <cellStyle name="Level2-Hide 2" xfId="141"/>
    <cellStyle name="Level2-Numbers" xfId="142"/>
    <cellStyle name="Level2-Numbers 2" xfId="143"/>
    <cellStyle name="Level2-Numbers-Hide" xfId="144"/>
    <cellStyle name="Level3" xfId="145"/>
    <cellStyle name="Level3 2" xfId="146"/>
    <cellStyle name="Level3 3" xfId="147"/>
    <cellStyle name="Level3_План департамент_2010_1207" xfId="148"/>
    <cellStyle name="Level3-Hide" xfId="149"/>
    <cellStyle name="Level3-Hide 2" xfId="150"/>
    <cellStyle name="Level3-Numbers" xfId="151"/>
    <cellStyle name="Level3-Numbers 2" xfId="152"/>
    <cellStyle name="Level3-Numbers 3" xfId="153"/>
    <cellStyle name="Level3-Numbers_План департамент_2010_1207" xfId="154"/>
    <cellStyle name="Level3-Numbers-Hide" xfId="155"/>
    <cellStyle name="Level4" xfId="156"/>
    <cellStyle name="Level4 2" xfId="157"/>
    <cellStyle name="Level4-Hide" xfId="158"/>
    <cellStyle name="Level4-Hide 2" xfId="159"/>
    <cellStyle name="Level4-Numbers" xfId="160"/>
    <cellStyle name="Level4-Numbers 2" xfId="161"/>
    <cellStyle name="Level4-Numbers-Hide" xfId="162"/>
    <cellStyle name="Level5" xfId="163"/>
    <cellStyle name="Level5 2" xfId="164"/>
    <cellStyle name="Level5-Hide" xfId="165"/>
    <cellStyle name="Level5-Hide 2" xfId="166"/>
    <cellStyle name="Level5-Numbers" xfId="167"/>
    <cellStyle name="Level5-Numbers 2" xfId="168"/>
    <cellStyle name="Level5-Numbers-Hide" xfId="169"/>
    <cellStyle name="Level6" xfId="170"/>
    <cellStyle name="Level6 2" xfId="171"/>
    <cellStyle name="Level6-Hide" xfId="172"/>
    <cellStyle name="Level6-Hide 2" xfId="173"/>
    <cellStyle name="Level6-Numbers" xfId="174"/>
    <cellStyle name="Level6-Numbers 2" xfId="175"/>
    <cellStyle name="Level7" xfId="176"/>
    <cellStyle name="Level7-Hide" xfId="177"/>
    <cellStyle name="Level7-Numbers" xfId="178"/>
    <cellStyle name="Linked Cell" xfId="179"/>
    <cellStyle name="Neutral" xfId="180"/>
    <cellStyle name="Normal 2" xfId="181"/>
    <cellStyle name="Normal_2005_03_15-Финансовый_БГ" xfId="182"/>
    <cellStyle name="Normal_GSE DCF_Model_31_07_09 final" xfId="183"/>
    <cellStyle name="Note" xfId="184"/>
    <cellStyle name="Number-Cells" xfId="185"/>
    <cellStyle name="Number-Cells-Column2" xfId="186"/>
    <cellStyle name="Number-Cells-Column5" xfId="187"/>
    <cellStyle name="Output" xfId="188"/>
    <cellStyle name="Row-Header" xfId="189"/>
    <cellStyle name="Row-Header 2" xfId="190"/>
    <cellStyle name="TableStyleLight1" xfId="191"/>
    <cellStyle name="Title" xfId="192"/>
    <cellStyle name="Total" xfId="193"/>
    <cellStyle name="Warning Text" xfId="194"/>
    <cellStyle name="Акцент1 2" xfId="195"/>
    <cellStyle name="Акцент1 3" xfId="196"/>
    <cellStyle name="Акцент2 2" xfId="197"/>
    <cellStyle name="Акцент2 3" xfId="198"/>
    <cellStyle name="Акцент3 2" xfId="199"/>
    <cellStyle name="Акцент3 3" xfId="200"/>
    <cellStyle name="Акцент4 2" xfId="201"/>
    <cellStyle name="Акцент4 3" xfId="202"/>
    <cellStyle name="Акцент5 2" xfId="203"/>
    <cellStyle name="Акцент5 3" xfId="204"/>
    <cellStyle name="Акцент6 2" xfId="205"/>
    <cellStyle name="Акцент6 3" xfId="206"/>
    <cellStyle name="Ввод  2" xfId="207"/>
    <cellStyle name="Ввод  3" xfId="208"/>
    <cellStyle name="Відсотковий" xfId="371" builtinId="5"/>
    <cellStyle name="Вывод 2" xfId="209"/>
    <cellStyle name="Вывод 3" xfId="210"/>
    <cellStyle name="Вычисление 2" xfId="211"/>
    <cellStyle name="Вычисление 3" xfId="212"/>
    <cellStyle name="Денежный 2" xfId="213"/>
    <cellStyle name="Заголовок 1 2" xfId="214"/>
    <cellStyle name="Заголовок 1 3" xfId="215"/>
    <cellStyle name="Заголовок 2 2" xfId="216"/>
    <cellStyle name="Заголовок 2 3" xfId="217"/>
    <cellStyle name="Заголовок 3 2" xfId="218"/>
    <cellStyle name="Заголовок 3 3" xfId="219"/>
    <cellStyle name="Заголовок 4 2" xfId="220"/>
    <cellStyle name="Заголовок 4 3" xfId="221"/>
    <cellStyle name="Звичайний" xfId="0" builtinId="0"/>
    <cellStyle name="Итог 2" xfId="222"/>
    <cellStyle name="Итог 3" xfId="223"/>
    <cellStyle name="Контрольная ячейка 2" xfId="224"/>
    <cellStyle name="Контрольная ячейка 3" xfId="225"/>
    <cellStyle name="Название 2" xfId="226"/>
    <cellStyle name="Название 3" xfId="227"/>
    <cellStyle name="Нейтральный 2" xfId="228"/>
    <cellStyle name="Нейтральный 3" xfId="229"/>
    <cellStyle name="Обычный 10" xfId="230"/>
    <cellStyle name="Обычный 11" xfId="231"/>
    <cellStyle name="Обычный 12" xfId="232"/>
    <cellStyle name="Обычный 13" xfId="233"/>
    <cellStyle name="Обычный 14" xfId="234"/>
    <cellStyle name="Обычный 15" xfId="235"/>
    <cellStyle name="Обычный 16" xfId="236"/>
    <cellStyle name="Обычный 17" xfId="237"/>
    <cellStyle name="Обычный 18" xfId="238"/>
    <cellStyle name="Обычный 19" xfId="239"/>
    <cellStyle name="Обычный 19 2" xfId="373"/>
    <cellStyle name="Обычный 19 2 2" xfId="425"/>
    <cellStyle name="Обычный 19 2 3" xfId="487"/>
    <cellStyle name="Обычный 19 3" xfId="372"/>
    <cellStyle name="Обычный 19 4" xfId="424"/>
    <cellStyle name="Обычный 19 5" xfId="486"/>
    <cellStyle name="Обычный 19 6" xfId="538"/>
    <cellStyle name="Обычный 2" xfId="240"/>
    <cellStyle name="Обычный 2 10" xfId="241"/>
    <cellStyle name="Обычный 2 11" xfId="242"/>
    <cellStyle name="Обычный 2 12" xfId="243"/>
    <cellStyle name="Обычный 2 13" xfId="244"/>
    <cellStyle name="Обычный 2 14" xfId="245"/>
    <cellStyle name="Обычный 2 15" xfId="246"/>
    <cellStyle name="Обычный 2 16" xfId="247"/>
    <cellStyle name="Обычный 2 17" xfId="248"/>
    <cellStyle name="Обычный 2 17 2" xfId="375"/>
    <cellStyle name="Обычный 2 17 2 2" xfId="427"/>
    <cellStyle name="Обычный 2 17 2 3" xfId="489"/>
    <cellStyle name="Обычный 2 17 3" xfId="374"/>
    <cellStyle name="Обычный 2 17 4" xfId="426"/>
    <cellStyle name="Обычный 2 17 5" xfId="488"/>
    <cellStyle name="Обычный 2 17 6" xfId="539"/>
    <cellStyle name="Обычный 2 2" xfId="249"/>
    <cellStyle name="Обычный 2 2 2" xfId="250"/>
    <cellStyle name="Обычный 2 2 3" xfId="251"/>
    <cellStyle name="Обычный 2 2 3 2" xfId="252"/>
    <cellStyle name="Обычный 2 2 3 2 2" xfId="378"/>
    <cellStyle name="Обычный 2 2 3 2 2 2" xfId="430"/>
    <cellStyle name="Обычный 2 2 3 2 2 3" xfId="492"/>
    <cellStyle name="Обычный 2 2 3 2 3" xfId="377"/>
    <cellStyle name="Обычный 2 2 3 2 4" xfId="429"/>
    <cellStyle name="Обычный 2 2 3 2 5" xfId="491"/>
    <cellStyle name="Обычный 2 2 3 2 6" xfId="541"/>
    <cellStyle name="Обычный 2 2 3 3" xfId="379"/>
    <cellStyle name="Обычный 2 2 3 3 2" xfId="431"/>
    <cellStyle name="Обычный 2 2 3 3 3" xfId="493"/>
    <cellStyle name="Обычный 2 2 3 4" xfId="376"/>
    <cellStyle name="Обычный 2 2 3 5" xfId="428"/>
    <cellStyle name="Обычный 2 2 3 6" xfId="490"/>
    <cellStyle name="Обычный 2 2 3 7" xfId="540"/>
    <cellStyle name="Обычный 2 2 4" xfId="253"/>
    <cellStyle name="Обычный 2 2 4 2" xfId="381"/>
    <cellStyle name="Обычный 2 2 4 2 2" xfId="433"/>
    <cellStyle name="Обычный 2 2 4 2 3" xfId="495"/>
    <cellStyle name="Обычный 2 2 4 3" xfId="380"/>
    <cellStyle name="Обычный 2 2 4 4" xfId="432"/>
    <cellStyle name="Обычный 2 2 4 5" xfId="494"/>
    <cellStyle name="Обычный 2 2 4 6" xfId="542"/>
    <cellStyle name="Обычный 2 2 5" xfId="477"/>
    <cellStyle name="Обычный 2 2_Расшифровка прочих" xfId="254"/>
    <cellStyle name="Обычный 2 3" xfId="255"/>
    <cellStyle name="Обычный 2 3 2" xfId="256"/>
    <cellStyle name="Обычный 2 3 2 2" xfId="383"/>
    <cellStyle name="Обычный 2 3 2 2 2" xfId="435"/>
    <cellStyle name="Обычный 2 3 2 2 3" xfId="497"/>
    <cellStyle name="Обычный 2 3 2 3" xfId="382"/>
    <cellStyle name="Обычный 2 3 2 4" xfId="434"/>
    <cellStyle name="Обычный 2 3 2 5" xfId="496"/>
    <cellStyle name="Обычный 2 3 2 6" xfId="543"/>
    <cellStyle name="Обычный 2 4" xfId="257"/>
    <cellStyle name="Обычный 2 5" xfId="258"/>
    <cellStyle name="Обычный 2 6" xfId="259"/>
    <cellStyle name="Обычный 2 7" xfId="260"/>
    <cellStyle name="Обычный 2 8" xfId="261"/>
    <cellStyle name="Обычный 2 9" xfId="262"/>
    <cellStyle name="Обычный 2_2604-2010" xfId="263"/>
    <cellStyle name="Обычный 20" xfId="264"/>
    <cellStyle name="Обычный 21" xfId="265"/>
    <cellStyle name="Обычный 22" xfId="266"/>
    <cellStyle name="Обычный 23" xfId="384"/>
    <cellStyle name="Обычный 23 2" xfId="385"/>
    <cellStyle name="Обычный 23 2 2" xfId="437"/>
    <cellStyle name="Обычный 23 2 3" xfId="499"/>
    <cellStyle name="Обычный 23 3" xfId="436"/>
    <cellStyle name="Обычный 23 4" xfId="498"/>
    <cellStyle name="Обычный 24" xfId="478"/>
    <cellStyle name="Обычный 25" xfId="480"/>
    <cellStyle name="Обычный 26" xfId="476"/>
    <cellStyle name="Обычный 27" xfId="479"/>
    <cellStyle name="Обычный 28" xfId="481"/>
    <cellStyle name="Обычный 29" xfId="482"/>
    <cellStyle name="Обычный 3" xfId="267"/>
    <cellStyle name="Обычный 3 10" xfId="268"/>
    <cellStyle name="Обычный 3 10 2" xfId="387"/>
    <cellStyle name="Обычный 3 10 2 2" xfId="439"/>
    <cellStyle name="Обычный 3 10 2 3" xfId="501"/>
    <cellStyle name="Обычный 3 10 3" xfId="386"/>
    <cellStyle name="Обычный 3 10 4" xfId="438"/>
    <cellStyle name="Обычный 3 10 5" xfId="500"/>
    <cellStyle name="Обычный 3 10 6" xfId="544"/>
    <cellStyle name="Обычный 3 11" xfId="269"/>
    <cellStyle name="Обычный 3 11 2" xfId="389"/>
    <cellStyle name="Обычный 3 11 2 2" xfId="441"/>
    <cellStyle name="Обычный 3 11 2 3" xfId="503"/>
    <cellStyle name="Обычный 3 11 3" xfId="388"/>
    <cellStyle name="Обычный 3 11 4" xfId="440"/>
    <cellStyle name="Обычный 3 11 5" xfId="502"/>
    <cellStyle name="Обычный 3 11 6" xfId="545"/>
    <cellStyle name="Обычный 3 12" xfId="270"/>
    <cellStyle name="Обычный 3 12 2" xfId="391"/>
    <cellStyle name="Обычный 3 12 2 2" xfId="443"/>
    <cellStyle name="Обычный 3 12 2 3" xfId="505"/>
    <cellStyle name="Обычный 3 12 3" xfId="390"/>
    <cellStyle name="Обычный 3 12 4" xfId="442"/>
    <cellStyle name="Обычный 3 12 5" xfId="504"/>
    <cellStyle name="Обычный 3 12 6" xfId="546"/>
    <cellStyle name="Обычный 3 13" xfId="271"/>
    <cellStyle name="Обычный 3 13 2" xfId="393"/>
    <cellStyle name="Обычный 3 13 2 2" xfId="445"/>
    <cellStyle name="Обычный 3 13 2 3" xfId="507"/>
    <cellStyle name="Обычный 3 13 3" xfId="392"/>
    <cellStyle name="Обычный 3 13 4" xfId="444"/>
    <cellStyle name="Обычный 3 13 5" xfId="506"/>
    <cellStyle name="Обычный 3 13 6" xfId="547"/>
    <cellStyle name="Обычный 3 14" xfId="272"/>
    <cellStyle name="Обычный 3 15" xfId="273"/>
    <cellStyle name="Обычный 3 2" xfId="274"/>
    <cellStyle name="Обычный 3 2 2" xfId="395"/>
    <cellStyle name="Обычный 3 2 2 2" xfId="447"/>
    <cellStyle name="Обычный 3 2 2 3" xfId="509"/>
    <cellStyle name="Обычный 3 2 3" xfId="394"/>
    <cellStyle name="Обычный 3 2 4" xfId="446"/>
    <cellStyle name="Обычный 3 2 5" xfId="508"/>
    <cellStyle name="Обычный 3 2 6" xfId="548"/>
    <cellStyle name="Обычный 3 3" xfId="275"/>
    <cellStyle name="Обычный 3 3 2" xfId="397"/>
    <cellStyle name="Обычный 3 3 2 2" xfId="449"/>
    <cellStyle name="Обычный 3 3 2 3" xfId="511"/>
    <cellStyle name="Обычный 3 3 3" xfId="396"/>
    <cellStyle name="Обычный 3 3 4" xfId="448"/>
    <cellStyle name="Обычный 3 3 5" xfId="510"/>
    <cellStyle name="Обычный 3 3 6" xfId="549"/>
    <cellStyle name="Обычный 3 4" xfId="276"/>
    <cellStyle name="Обычный 3 4 2" xfId="399"/>
    <cellStyle name="Обычный 3 4 2 2" xfId="451"/>
    <cellStyle name="Обычный 3 4 2 3" xfId="513"/>
    <cellStyle name="Обычный 3 4 3" xfId="398"/>
    <cellStyle name="Обычный 3 4 4" xfId="450"/>
    <cellStyle name="Обычный 3 4 5" xfId="512"/>
    <cellStyle name="Обычный 3 4 6" xfId="550"/>
    <cellStyle name="Обычный 3 5" xfId="277"/>
    <cellStyle name="Обычный 3 5 2" xfId="401"/>
    <cellStyle name="Обычный 3 5 2 2" xfId="453"/>
    <cellStyle name="Обычный 3 5 2 3" xfId="515"/>
    <cellStyle name="Обычный 3 5 3" xfId="400"/>
    <cellStyle name="Обычный 3 5 4" xfId="452"/>
    <cellStyle name="Обычный 3 5 5" xfId="514"/>
    <cellStyle name="Обычный 3 5 6" xfId="551"/>
    <cellStyle name="Обычный 3 6" xfId="278"/>
    <cellStyle name="Обычный 3 6 2" xfId="403"/>
    <cellStyle name="Обычный 3 6 2 2" xfId="455"/>
    <cellStyle name="Обычный 3 6 2 3" xfId="517"/>
    <cellStyle name="Обычный 3 6 3" xfId="402"/>
    <cellStyle name="Обычный 3 6 4" xfId="454"/>
    <cellStyle name="Обычный 3 6 5" xfId="516"/>
    <cellStyle name="Обычный 3 6 6" xfId="552"/>
    <cellStyle name="Обычный 3 7" xfId="279"/>
    <cellStyle name="Обычный 3 7 2" xfId="405"/>
    <cellStyle name="Обычный 3 7 2 2" xfId="457"/>
    <cellStyle name="Обычный 3 7 2 3" xfId="519"/>
    <cellStyle name="Обычный 3 7 3" xfId="404"/>
    <cellStyle name="Обычный 3 7 4" xfId="456"/>
    <cellStyle name="Обычный 3 7 5" xfId="518"/>
    <cellStyle name="Обычный 3 7 6" xfId="553"/>
    <cellStyle name="Обычный 3 8" xfId="280"/>
    <cellStyle name="Обычный 3 8 2" xfId="407"/>
    <cellStyle name="Обычный 3 8 2 2" xfId="459"/>
    <cellStyle name="Обычный 3 8 2 3" xfId="521"/>
    <cellStyle name="Обычный 3 8 3" xfId="406"/>
    <cellStyle name="Обычный 3 8 4" xfId="458"/>
    <cellStyle name="Обычный 3 8 5" xfId="520"/>
    <cellStyle name="Обычный 3 8 6" xfId="554"/>
    <cellStyle name="Обычный 3 9" xfId="281"/>
    <cellStyle name="Обычный 3 9 2" xfId="409"/>
    <cellStyle name="Обычный 3 9 2 2" xfId="461"/>
    <cellStyle name="Обычный 3 9 2 3" xfId="523"/>
    <cellStyle name="Обычный 3 9 3" xfId="408"/>
    <cellStyle name="Обычный 3 9 4" xfId="460"/>
    <cellStyle name="Обычный 3 9 5" xfId="522"/>
    <cellStyle name="Обычный 3 9 6" xfId="555"/>
    <cellStyle name="Обычный 3_Дефицит_7 млрд_0608_бс" xfId="282"/>
    <cellStyle name="Обычный 30" xfId="483"/>
    <cellStyle name="Обычный 31" xfId="484"/>
    <cellStyle name="Обычный 32" xfId="485"/>
    <cellStyle name="Обычный 4" xfId="283"/>
    <cellStyle name="Обычный 4 2" xfId="284"/>
    <cellStyle name="Обычный 4 2 2" xfId="412"/>
    <cellStyle name="Обычный 4 2 2 2" xfId="464"/>
    <cellStyle name="Обычный 4 2 2 3" xfId="526"/>
    <cellStyle name="Обычный 4 2 3" xfId="411"/>
    <cellStyle name="Обычный 4 2 4" xfId="463"/>
    <cellStyle name="Обычный 4 2 5" xfId="525"/>
    <cellStyle name="Обычный 4 2 6" xfId="557"/>
    <cellStyle name="Обычный 4 3" xfId="285"/>
    <cellStyle name="Обычный 4 3 2" xfId="414"/>
    <cellStyle name="Обычный 4 3 2 2" xfId="466"/>
    <cellStyle name="Обычный 4 3 2 3" xfId="528"/>
    <cellStyle name="Обычный 4 3 3" xfId="413"/>
    <cellStyle name="Обычный 4 3 4" xfId="465"/>
    <cellStyle name="Обычный 4 3 5" xfId="527"/>
    <cellStyle name="Обычный 4 3 6" xfId="558"/>
    <cellStyle name="Обычный 4 4" xfId="415"/>
    <cellStyle name="Обычный 4 4 2" xfId="467"/>
    <cellStyle name="Обычный 4 4 3" xfId="529"/>
    <cellStyle name="Обычный 4 5" xfId="410"/>
    <cellStyle name="Обычный 4 6" xfId="462"/>
    <cellStyle name="Обычный 4 7" xfId="524"/>
    <cellStyle name="Обычный 4 8" xfId="556"/>
    <cellStyle name="Обычный 5" xfId="286"/>
    <cellStyle name="Обычный 5 2" xfId="287"/>
    <cellStyle name="Обычный 6" xfId="288"/>
    <cellStyle name="Обычный 6 2" xfId="289"/>
    <cellStyle name="Обычный 6 2 2" xfId="290"/>
    <cellStyle name="Обычный 6 2 2 2" xfId="417"/>
    <cellStyle name="Обычный 6 2 2 2 2" xfId="469"/>
    <cellStyle name="Обычный 6 2 2 2 3" xfId="531"/>
    <cellStyle name="Обычный 6 2 2 3" xfId="416"/>
    <cellStyle name="Обычный 6 2 2 4" xfId="468"/>
    <cellStyle name="Обычный 6 2 2 5" xfId="530"/>
    <cellStyle name="Обычный 6 2 2 6" xfId="559"/>
    <cellStyle name="Обычный 6 2 3" xfId="291"/>
    <cellStyle name="Обычный 6 2 3 2" xfId="419"/>
    <cellStyle name="Обычный 6 2 3 2 2" xfId="471"/>
    <cellStyle name="Обычный 6 2 3 2 3" xfId="533"/>
    <cellStyle name="Обычный 6 2 3 3" xfId="418"/>
    <cellStyle name="Обычный 6 2 3 4" xfId="470"/>
    <cellStyle name="Обычный 6 2 3 5" xfId="532"/>
    <cellStyle name="Обычный 6 2 3 6" xfId="560"/>
    <cellStyle name="Обычный 6 3" xfId="292"/>
    <cellStyle name="Обычный 6 3 2" xfId="293"/>
    <cellStyle name="Обычный 6 3 2 2" xfId="421"/>
    <cellStyle name="Обычный 6 3 2 2 2" xfId="473"/>
    <cellStyle name="Обычный 6 3 2 2 3" xfId="535"/>
    <cellStyle name="Обычный 6 3 2 3" xfId="420"/>
    <cellStyle name="Обычный 6 3 2 4" xfId="472"/>
    <cellStyle name="Обычный 6 3 2 5" xfId="534"/>
    <cellStyle name="Обычный 6 3 2 6" xfId="561"/>
    <cellStyle name="Обычный 6 4" xfId="294"/>
    <cellStyle name="Обычный 6 5" xfId="295"/>
    <cellStyle name="Обычный 6 5 2" xfId="423"/>
    <cellStyle name="Обычный 6 5 2 2" xfId="475"/>
    <cellStyle name="Обычный 6 5 2 3" xfId="537"/>
    <cellStyle name="Обычный 6 5 3" xfId="422"/>
    <cellStyle name="Обычный 6 5 4" xfId="474"/>
    <cellStyle name="Обычный 6 5 5" xfId="536"/>
    <cellStyle name="Обычный 6 5 6" xfId="562"/>
    <cellStyle name="Обычный 6_Дефицит_7 млрд_0608_бс" xfId="296"/>
    <cellStyle name="Обычный 7" xfId="297"/>
    <cellStyle name="Обычный 7 2" xfId="298"/>
    <cellStyle name="Обычный 8" xfId="299"/>
    <cellStyle name="Обычный 9" xfId="300"/>
    <cellStyle name="Обычный 9 2" xfId="301"/>
    <cellStyle name="Плохой 2" xfId="302"/>
    <cellStyle name="Плохой 3" xfId="303"/>
    <cellStyle name="Пояснение 2" xfId="304"/>
    <cellStyle name="Пояснение 3" xfId="305"/>
    <cellStyle name="Примечание 2" xfId="306"/>
    <cellStyle name="Примечание 3" xfId="307"/>
    <cellStyle name="Процентный 2" xfId="308"/>
    <cellStyle name="Процентный 2 10" xfId="309"/>
    <cellStyle name="Процентный 2 11" xfId="310"/>
    <cellStyle name="Процентный 2 12" xfId="311"/>
    <cellStyle name="Процентный 2 13" xfId="312"/>
    <cellStyle name="Процентный 2 14" xfId="313"/>
    <cellStyle name="Процентный 2 15" xfId="314"/>
    <cellStyle name="Процентный 2 16" xfId="315"/>
    <cellStyle name="Процентный 2 2" xfId="316"/>
    <cellStyle name="Процентный 2 3" xfId="317"/>
    <cellStyle name="Процентный 2 4" xfId="318"/>
    <cellStyle name="Процентный 2 5" xfId="319"/>
    <cellStyle name="Процентный 2 6" xfId="320"/>
    <cellStyle name="Процентный 2 7" xfId="321"/>
    <cellStyle name="Процентный 2 8" xfId="322"/>
    <cellStyle name="Процентный 2 9" xfId="323"/>
    <cellStyle name="Процентный 3" xfId="324"/>
    <cellStyle name="Процентный 4" xfId="325"/>
    <cellStyle name="Процентный 4 2" xfId="326"/>
    <cellStyle name="Связанная ячейка 2" xfId="327"/>
    <cellStyle name="Связанная ячейка 3" xfId="328"/>
    <cellStyle name="Стиль 1" xfId="329"/>
    <cellStyle name="Стиль 1 2" xfId="330"/>
    <cellStyle name="Стиль 1 3" xfId="331"/>
    <cellStyle name="Стиль 1 4" xfId="332"/>
    <cellStyle name="Стиль 1 5" xfId="333"/>
    <cellStyle name="Стиль 1 6" xfId="334"/>
    <cellStyle name="Стиль 1 7" xfId="335"/>
    <cellStyle name="Текст предупреждения 2" xfId="336"/>
    <cellStyle name="Текст предупреждения 3" xfId="337"/>
    <cellStyle name="Тысячи [0]_1.62" xfId="338"/>
    <cellStyle name="Тысячи_1.62" xfId="339"/>
    <cellStyle name="Финансовый 2" xfId="341"/>
    <cellStyle name="Финансовый 2 10" xfId="342"/>
    <cellStyle name="Финансовый 2 11" xfId="343"/>
    <cellStyle name="Финансовый 2 12" xfId="344"/>
    <cellStyle name="Финансовый 2 13" xfId="345"/>
    <cellStyle name="Финансовый 2 14" xfId="346"/>
    <cellStyle name="Финансовый 2 15" xfId="347"/>
    <cellStyle name="Финансовый 2 16" xfId="348"/>
    <cellStyle name="Финансовый 2 17" xfId="349"/>
    <cellStyle name="Финансовый 2 2" xfId="350"/>
    <cellStyle name="Финансовый 2 3" xfId="351"/>
    <cellStyle name="Финансовый 2 4" xfId="352"/>
    <cellStyle name="Финансовый 2 5" xfId="353"/>
    <cellStyle name="Финансовый 2 6" xfId="354"/>
    <cellStyle name="Финансовый 2 7" xfId="355"/>
    <cellStyle name="Финансовый 2 8" xfId="356"/>
    <cellStyle name="Финансовый 2 9" xfId="357"/>
    <cellStyle name="Финансовый 3" xfId="358"/>
    <cellStyle name="Финансовый 3 2" xfId="359"/>
    <cellStyle name="Финансовый 4" xfId="360"/>
    <cellStyle name="Финансовый 4 2" xfId="361"/>
    <cellStyle name="Финансовый 4 3" xfId="362"/>
    <cellStyle name="Финансовый 5" xfId="363"/>
    <cellStyle name="Финансовый 6" xfId="364"/>
    <cellStyle name="Финансовый 7" xfId="365"/>
    <cellStyle name="Фінансовий" xfId="340" builtinId="3"/>
    <cellStyle name="Хороший 2" xfId="366"/>
    <cellStyle name="Хороший 3" xfId="367"/>
    <cellStyle name="числовой" xfId="368"/>
    <cellStyle name="Ю" xfId="369"/>
    <cellStyle name="Ю-FreeSet_10" xfId="37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styles" Target="styles.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riadna\Sum_po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ank.gov.ua/New_monitoring/Monit_xls/M_2002/M_06_02/Monthly/10_October/1Aug2001/GDP/realgdp/LENA/BGV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Real GDP &amp; Real IP (u)"/>
      <sheetName val="Real GDP &amp; Real IP (e)"/>
      <sheetName val="GDP_gr"/>
      <sheetName val="Светлые"/>
      <sheetName val="адмін (2)"/>
      <sheetName val="Лист 1"/>
      <sheetName val="Real_GDP_&amp;_Real_IP_(u)"/>
      <sheetName val="Real_GDP_&amp;_Real_IP_(e)"/>
    </sheetNames>
    <sheetDataSet>
      <sheetData sheetId="0"/>
      <sheetData sheetId="1"/>
      <sheetData sheetId="2"/>
      <sheetData sheetId="3"/>
      <sheetData sheetId="4" refreshError="1"/>
      <sheetData sheetId="5" refreshError="1"/>
      <sheetData sheetId="6" refreshError="1"/>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 val="МТР Газ України"/>
      <sheetName val="зведена_таб"/>
      <sheetName val="попер_роз_(4)"/>
      <sheetName val="звед_оптим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МТР Газ України"/>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Лист1"/>
      <sheetName val="МТР все 2"/>
      <sheetName val="Правила ДДС"/>
    </sheetNames>
    <sheetDataSet>
      <sheetData sheetId="0" refreshError="1"/>
      <sheetData sheetId="1" refreshError="1"/>
      <sheetData sheetId="2" refreshError="1"/>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GDP"/>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 val="Inform"/>
    </sheetNames>
    <sheetDataSet>
      <sheetData sheetId="0"/>
      <sheetData sheetId="1"/>
      <sheetData sheetId="2"/>
      <sheetData sheetId="3"/>
      <sheetData sheetId="4"/>
      <sheetData sheetId="5"/>
      <sheetData sheetId="6"/>
      <sheetData sheetId="7"/>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Ener "/>
      <sheetName val="Лист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 val="МТР Газ України"/>
      <sheetName val="БАЗА__"/>
      <sheetName val="БАЗА___(2)"/>
      <sheetName val="БАЗА___(3)"/>
      <sheetName val="БАЗА___(5)"/>
      <sheetName val="БАЗА___(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БАЗА  "/>
      <sheetName val="Inform"/>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Правила ДДС"/>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19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Inform"/>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Технич лист"/>
    </sheetNames>
    <sheetDataSet>
      <sheetData sheetId="0" refreshError="1"/>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 val="Рабоч"/>
      <sheetName val="11)423+424"/>
      <sheetName val="Chart_of_accs"/>
      <sheetName val="Лист1"/>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 val="Inform"/>
      <sheetName val="БАЗА__"/>
      <sheetName val="БАЗА___(2)"/>
      <sheetName val="БАЗА___(3)"/>
      <sheetName val="БАЗА___(4)"/>
      <sheetName val="БАЗА___(5)"/>
      <sheetName val="БАЗА___(6)"/>
      <sheetName val="БАЗА___(7)"/>
      <sheetName val="БАЗА___(8)"/>
      <sheetName val="БАЗА___(9)"/>
      <sheetName val="БАЗА___(10)"/>
      <sheetName val="БАЗА___(12)"/>
      <sheetName val="БАЗА___(11)"/>
      <sheetName val="БАЗА___(13)"/>
      <sheetName val="БАЗА___(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МТР Газ України"/>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Лист2"/>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Inform"/>
    </sheetNames>
    <sheetDataSet>
      <sheetData sheetId="0" refreshError="1"/>
      <sheetData sheetId="1" refreshError="1"/>
    </sheetDataSet>
  </externalBook>
</externalLink>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J186"/>
  <sheetViews>
    <sheetView topLeftCell="A7" zoomScale="75" zoomScaleNormal="75" workbookViewId="0">
      <selection activeCell="B40" sqref="B40:F40"/>
    </sheetView>
  </sheetViews>
  <sheetFormatPr defaultRowHeight="18.75"/>
  <cols>
    <col min="1" max="1" width="59.42578125" style="2" customWidth="1"/>
    <col min="2" max="2" width="15.28515625" style="10" customWidth="1"/>
    <col min="3" max="4" width="18" style="10" customWidth="1"/>
    <col min="5" max="5" width="13" style="10" customWidth="1"/>
    <col min="6" max="6" width="2.42578125" style="2" customWidth="1"/>
    <col min="7" max="9" width="16.7109375" style="2" customWidth="1"/>
    <col min="10" max="10" width="18.140625" style="2" customWidth="1"/>
    <col min="11" max="11" width="10" style="2" customWidth="1"/>
    <col min="12" max="12" width="9.5703125" style="2" customWidth="1"/>
    <col min="13" max="14" width="9.140625" style="2"/>
    <col min="15" max="15" width="10.5703125" style="2" customWidth="1"/>
    <col min="16" max="16384" width="9.140625" style="2"/>
  </cols>
  <sheetData>
    <row r="1" spans="1:10" ht="18.75" customHeight="1">
      <c r="A1" s="2" t="s">
        <v>122</v>
      </c>
      <c r="B1" s="9"/>
      <c r="D1" s="2"/>
      <c r="E1" s="2"/>
      <c r="G1" s="336" t="s">
        <v>20</v>
      </c>
      <c r="H1" s="336"/>
      <c r="I1" s="336"/>
      <c r="J1" s="336"/>
    </row>
    <row r="2" spans="1:10">
      <c r="B2" s="9"/>
      <c r="D2" s="2"/>
      <c r="E2" s="2"/>
      <c r="G2" s="336" t="s">
        <v>108</v>
      </c>
      <c r="H2" s="336"/>
      <c r="I2" s="336"/>
      <c r="J2" s="336"/>
    </row>
    <row r="3" spans="1:10" ht="18.75" customHeight="1">
      <c r="A3" s="337"/>
      <c r="B3" s="333"/>
      <c r="D3" s="9"/>
      <c r="E3" s="9"/>
      <c r="F3" s="9"/>
      <c r="G3" s="336" t="s">
        <v>198</v>
      </c>
      <c r="H3" s="336"/>
      <c r="I3" s="336"/>
      <c r="J3" s="336"/>
    </row>
    <row r="4" spans="1:10" ht="34.5" customHeight="1">
      <c r="A4" s="29" t="s">
        <v>21</v>
      </c>
      <c r="D4" s="9"/>
      <c r="E4" s="9"/>
      <c r="F4" s="9"/>
      <c r="G4" s="338" t="s">
        <v>199</v>
      </c>
      <c r="H4" s="338"/>
      <c r="I4" s="338"/>
      <c r="J4" s="338"/>
    </row>
    <row r="5" spans="1:10" ht="18.75" customHeight="1">
      <c r="A5" s="19"/>
      <c r="B5" s="19"/>
      <c r="D5" s="9"/>
      <c r="E5" s="9"/>
      <c r="F5" s="9"/>
      <c r="G5" s="336" t="s">
        <v>236</v>
      </c>
      <c r="H5" s="336"/>
      <c r="I5" s="36"/>
      <c r="J5" s="36"/>
    </row>
    <row r="6" spans="1:10" ht="18.75" customHeight="1">
      <c r="A6" s="10"/>
      <c r="D6" s="9"/>
      <c r="E6" s="9"/>
      <c r="F6" s="9"/>
      <c r="G6" s="36"/>
      <c r="H6" s="36"/>
      <c r="I6" s="36"/>
      <c r="J6" s="36"/>
    </row>
    <row r="7" spans="1:10" ht="18.75" customHeight="1">
      <c r="A7" s="10"/>
      <c r="D7" s="9"/>
      <c r="E7" s="9"/>
      <c r="F7" s="9"/>
      <c r="G7" s="36"/>
      <c r="H7" s="36"/>
      <c r="I7" s="36"/>
      <c r="J7" s="36"/>
    </row>
    <row r="8" spans="1:10" ht="18.75" customHeight="1">
      <c r="A8" s="331" t="s">
        <v>369</v>
      </c>
      <c r="B8" s="331"/>
      <c r="D8" s="9"/>
      <c r="E8" s="9"/>
      <c r="F8" s="9"/>
      <c r="G8" s="336"/>
      <c r="H8" s="336"/>
      <c r="I8" s="336"/>
      <c r="J8" s="336"/>
    </row>
    <row r="9" spans="1:10" ht="18.75" customHeight="1">
      <c r="F9" s="13"/>
      <c r="G9" s="340" t="s">
        <v>123</v>
      </c>
      <c r="H9" s="340"/>
      <c r="I9" s="340"/>
      <c r="J9" s="340"/>
    </row>
    <row r="10" spans="1:10">
      <c r="A10" s="10"/>
      <c r="C10" s="3"/>
      <c r="D10" s="13"/>
      <c r="E10" s="13"/>
      <c r="F10" s="13"/>
      <c r="G10" s="323"/>
      <c r="H10" s="323"/>
      <c r="I10" s="323"/>
      <c r="J10" s="323"/>
    </row>
    <row r="11" spans="1:10" ht="18.75" customHeight="1">
      <c r="A11" s="329"/>
      <c r="B11" s="329"/>
      <c r="C11" s="20"/>
      <c r="D11" s="20"/>
      <c r="E11" s="20"/>
      <c r="F11" s="37"/>
      <c r="G11" s="38" t="s">
        <v>132</v>
      </c>
      <c r="H11" s="38"/>
      <c r="I11" s="38"/>
      <c r="J11" s="38"/>
    </row>
    <row r="12" spans="1:10" ht="20.25" customHeight="1">
      <c r="A12" s="335" t="s">
        <v>62</v>
      </c>
      <c r="B12" s="335"/>
      <c r="D12" s="2"/>
      <c r="E12" s="2"/>
      <c r="F12" s="1"/>
      <c r="G12" s="323"/>
      <c r="H12" s="323"/>
      <c r="I12" s="323"/>
      <c r="J12" s="323"/>
    </row>
    <row r="13" spans="1:10" ht="19.5" customHeight="1">
      <c r="A13" s="339"/>
      <c r="B13" s="339"/>
      <c r="F13" s="9"/>
      <c r="G13" s="38" t="s">
        <v>134</v>
      </c>
      <c r="H13" s="38"/>
      <c r="I13" s="38"/>
      <c r="J13" s="38"/>
    </row>
    <row r="14" spans="1:10" ht="19.5" customHeight="1">
      <c r="A14" s="10"/>
      <c r="F14" s="9"/>
      <c r="G14" s="323"/>
      <c r="H14" s="323"/>
      <c r="I14" s="323"/>
      <c r="J14" s="323"/>
    </row>
    <row r="15" spans="1:10" ht="19.5" customHeight="1">
      <c r="A15" s="335"/>
      <c r="B15" s="335"/>
      <c r="C15" s="3"/>
      <c r="D15" s="9"/>
      <c r="E15" s="9"/>
      <c r="F15" s="9"/>
      <c r="G15" s="338" t="s">
        <v>133</v>
      </c>
      <c r="H15" s="338"/>
      <c r="I15" s="338"/>
      <c r="J15" s="338"/>
    </row>
    <row r="16" spans="1:10" ht="16.5" customHeight="1">
      <c r="A16" s="331" t="s">
        <v>369</v>
      </c>
      <c r="B16" s="331"/>
      <c r="C16" s="3"/>
      <c r="D16" s="9"/>
      <c r="E16" s="9"/>
      <c r="F16" s="9"/>
      <c r="G16" s="36"/>
      <c r="H16" s="36"/>
      <c r="I16" s="36"/>
      <c r="J16" s="36"/>
    </row>
    <row r="17" spans="1:10" ht="16.5" customHeight="1">
      <c r="A17" s="10"/>
      <c r="C17" s="3"/>
      <c r="D17" s="9"/>
      <c r="E17" s="9"/>
      <c r="F17" s="9"/>
      <c r="G17" s="36"/>
      <c r="H17" s="36"/>
      <c r="I17" s="36"/>
      <c r="J17" s="36"/>
    </row>
    <row r="18" spans="1:10" ht="18.75" customHeight="1">
      <c r="A18" s="331"/>
      <c r="B18" s="331"/>
      <c r="D18" s="9"/>
      <c r="E18" s="9"/>
      <c r="F18" s="9"/>
      <c r="G18" s="331" t="s">
        <v>369</v>
      </c>
      <c r="H18" s="331"/>
      <c r="I18" s="331"/>
      <c r="J18" s="331"/>
    </row>
    <row r="19" spans="1:10" ht="15.75" customHeight="1">
      <c r="D19" s="9"/>
      <c r="E19" s="9"/>
      <c r="F19" s="9"/>
      <c r="I19" s="10"/>
      <c r="J19" s="10"/>
    </row>
    <row r="20" spans="1:10" ht="15.75" customHeight="1">
      <c r="A20" s="323"/>
      <c r="B20" s="333"/>
      <c r="F20" s="1"/>
      <c r="G20" s="10"/>
      <c r="H20" s="10"/>
      <c r="I20" s="10"/>
      <c r="J20" s="10"/>
    </row>
    <row r="21" spans="1:10">
      <c r="A21" s="334" t="s">
        <v>76</v>
      </c>
      <c r="B21" s="334"/>
      <c r="F21" s="1"/>
      <c r="G21" s="2" t="s">
        <v>124</v>
      </c>
    </row>
    <row r="22" spans="1:10">
      <c r="A22" s="11"/>
      <c r="B22" s="11"/>
      <c r="F22" s="1"/>
      <c r="G22" s="323"/>
      <c r="H22" s="323"/>
      <c r="I22" s="323"/>
      <c r="J22" s="323"/>
    </row>
    <row r="23" spans="1:10" ht="15.75" customHeight="1">
      <c r="A23" s="335"/>
      <c r="B23" s="335"/>
      <c r="F23" s="1"/>
      <c r="G23" s="38" t="s">
        <v>136</v>
      </c>
      <c r="H23" s="39"/>
      <c r="I23" s="39"/>
      <c r="J23" s="39"/>
    </row>
    <row r="24" spans="1:10" ht="15.75" customHeight="1">
      <c r="F24" s="1"/>
      <c r="G24" s="323"/>
      <c r="H24" s="323"/>
      <c r="I24" s="323"/>
      <c r="J24" s="323"/>
    </row>
    <row r="25" spans="1:10">
      <c r="A25" s="331" t="s">
        <v>369</v>
      </c>
      <c r="B25" s="331"/>
      <c r="C25" s="40"/>
      <c r="D25" s="12"/>
      <c r="E25" s="12"/>
      <c r="F25" s="1"/>
      <c r="G25" s="332" t="s">
        <v>135</v>
      </c>
      <c r="H25" s="332"/>
      <c r="I25" s="332"/>
      <c r="J25" s="332"/>
    </row>
    <row r="26" spans="1:10" ht="18" customHeight="1">
      <c r="B26" s="31"/>
      <c r="C26" s="40"/>
      <c r="D26" s="12"/>
      <c r="E26" s="12"/>
      <c r="F26" s="1"/>
      <c r="G26" s="27"/>
      <c r="H26" s="27"/>
      <c r="I26" s="27"/>
      <c r="J26" s="27"/>
    </row>
    <row r="27" spans="1:10" ht="21" customHeight="1">
      <c r="B27" s="2"/>
      <c r="C27" s="3"/>
      <c r="D27" s="27"/>
      <c r="E27" s="27"/>
      <c r="F27" s="27"/>
      <c r="G27" s="331" t="s">
        <v>369</v>
      </c>
      <c r="H27" s="331"/>
      <c r="I27" s="331"/>
      <c r="J27" s="331"/>
    </row>
    <row r="28" spans="1:10" ht="21" customHeight="1">
      <c r="B28" s="2"/>
      <c r="C28" s="3"/>
      <c r="D28" s="27"/>
      <c r="E28" s="27"/>
      <c r="F28" s="27"/>
    </row>
    <row r="29" spans="1:10" ht="21" customHeight="1">
      <c r="B29" s="2"/>
      <c r="C29" s="3"/>
      <c r="D29" s="27"/>
      <c r="E29" s="27"/>
      <c r="F29" s="27"/>
      <c r="H29" s="29"/>
      <c r="I29" s="29"/>
      <c r="J29" s="29"/>
    </row>
    <row r="30" spans="1:10">
      <c r="B30" s="3"/>
      <c r="C30" s="3"/>
      <c r="D30" s="3"/>
      <c r="E30" s="3"/>
      <c r="F30" s="3"/>
      <c r="G30" s="10"/>
      <c r="H30" s="10"/>
      <c r="I30" s="10"/>
      <c r="J30" s="10"/>
    </row>
    <row r="31" spans="1:10" ht="20.100000000000001" customHeight="1">
      <c r="A31" s="34"/>
      <c r="B31" s="324"/>
      <c r="C31" s="324"/>
      <c r="D31" s="324"/>
      <c r="E31" s="324"/>
      <c r="F31" s="324"/>
      <c r="G31" s="21"/>
      <c r="H31" s="35"/>
      <c r="I31" s="16" t="s">
        <v>598</v>
      </c>
      <c r="J31" s="5" t="s">
        <v>201</v>
      </c>
    </row>
    <row r="32" spans="1:10" ht="20.100000000000001" customHeight="1">
      <c r="A32" s="30" t="s">
        <v>14</v>
      </c>
      <c r="B32" s="324" t="s">
        <v>409</v>
      </c>
      <c r="C32" s="324"/>
      <c r="D32" s="324"/>
      <c r="E32" s="324"/>
      <c r="F32" s="324"/>
      <c r="G32" s="22"/>
      <c r="H32" s="41"/>
      <c r="I32" s="7" t="s">
        <v>127</v>
      </c>
      <c r="J32" s="5">
        <v>38017026</v>
      </c>
    </row>
    <row r="33" spans="1:10" ht="20.100000000000001" customHeight="1">
      <c r="A33" s="30" t="s">
        <v>15</v>
      </c>
      <c r="B33" s="324" t="s">
        <v>410</v>
      </c>
      <c r="C33" s="324"/>
      <c r="D33" s="324"/>
      <c r="E33" s="324"/>
      <c r="F33" s="324"/>
      <c r="G33" s="21"/>
      <c r="H33" s="35"/>
      <c r="I33" s="7" t="s">
        <v>126</v>
      </c>
      <c r="J33" s="5">
        <v>145</v>
      </c>
    </row>
    <row r="34" spans="1:10" ht="20.100000000000001" customHeight="1">
      <c r="A34" s="30" t="s">
        <v>22</v>
      </c>
      <c r="B34" s="325" t="s">
        <v>411</v>
      </c>
      <c r="C34" s="325"/>
      <c r="D34" s="325"/>
      <c r="E34" s="325"/>
      <c r="F34" s="325"/>
      <c r="G34" s="21"/>
      <c r="H34" s="35"/>
      <c r="I34" s="7" t="s">
        <v>125</v>
      </c>
      <c r="J34" s="109">
        <v>5110136900</v>
      </c>
    </row>
    <row r="35" spans="1:10" ht="20.100000000000001" customHeight="1">
      <c r="A35" s="30" t="s">
        <v>69</v>
      </c>
      <c r="B35" s="330" t="s">
        <v>690</v>
      </c>
      <c r="C35" s="330"/>
      <c r="D35" s="330"/>
      <c r="E35" s="330"/>
      <c r="F35" s="330"/>
      <c r="G35" s="330"/>
      <c r="H35" s="41"/>
      <c r="I35" s="7" t="s">
        <v>9</v>
      </c>
      <c r="J35" s="109">
        <v>27218</v>
      </c>
    </row>
    <row r="36" spans="1:10" ht="20.100000000000001" customHeight="1">
      <c r="A36" s="30" t="s">
        <v>17</v>
      </c>
      <c r="B36" s="325" t="s">
        <v>415</v>
      </c>
      <c r="C36" s="325"/>
      <c r="D36" s="325"/>
      <c r="E36" s="325"/>
      <c r="F36" s="325"/>
      <c r="G36" s="325"/>
      <c r="H36" s="325"/>
      <c r="I36" s="7" t="s">
        <v>8</v>
      </c>
      <c r="J36" s="5"/>
    </row>
    <row r="37" spans="1:10" ht="20.100000000000001" customHeight="1">
      <c r="A37" s="30" t="s">
        <v>16</v>
      </c>
      <c r="B37" s="325" t="s">
        <v>438</v>
      </c>
      <c r="C37" s="325"/>
      <c r="D37" s="325"/>
      <c r="E37" s="325"/>
      <c r="F37" s="325"/>
      <c r="G37" s="325"/>
      <c r="H37" s="325"/>
      <c r="I37" s="43" t="s">
        <v>10</v>
      </c>
      <c r="J37" s="5" t="s">
        <v>441</v>
      </c>
    </row>
    <row r="38" spans="1:10" ht="20.100000000000001" customHeight="1">
      <c r="A38" s="30" t="s">
        <v>370</v>
      </c>
      <c r="B38" s="324"/>
      <c r="C38" s="324"/>
      <c r="D38" s="324"/>
      <c r="E38" s="324"/>
      <c r="F38" s="324"/>
      <c r="G38" s="324" t="s">
        <v>165</v>
      </c>
      <c r="H38" s="326"/>
      <c r="I38" s="327"/>
      <c r="J38" s="6"/>
    </row>
    <row r="39" spans="1:10" ht="20.100000000000001" customHeight="1">
      <c r="A39" s="30" t="s">
        <v>23</v>
      </c>
      <c r="B39" s="325" t="s">
        <v>413</v>
      </c>
      <c r="C39" s="325"/>
      <c r="D39" s="325"/>
      <c r="E39" s="325"/>
      <c r="F39" s="325"/>
      <c r="G39" s="324" t="s">
        <v>166</v>
      </c>
      <c r="H39" s="326"/>
      <c r="I39" s="327"/>
      <c r="J39" s="6"/>
    </row>
    <row r="40" spans="1:10" ht="20.100000000000001" customHeight="1">
      <c r="A40" s="30" t="s">
        <v>107</v>
      </c>
      <c r="B40" s="328">
        <f>'6.1. Інша інфо_1'!J11</f>
        <v>334</v>
      </c>
      <c r="C40" s="328"/>
      <c r="D40" s="328"/>
      <c r="E40" s="328"/>
      <c r="F40" s="328"/>
      <c r="G40" s="22"/>
      <c r="H40" s="22"/>
      <c r="I40" s="22"/>
      <c r="J40" s="41"/>
    </row>
    <row r="41" spans="1:10" ht="20.100000000000001" customHeight="1">
      <c r="A41" s="30" t="s">
        <v>11</v>
      </c>
      <c r="B41" s="324" t="s">
        <v>439</v>
      </c>
      <c r="C41" s="324"/>
      <c r="D41" s="324"/>
      <c r="E41" s="324"/>
      <c r="F41" s="324"/>
      <c r="G41" s="21"/>
      <c r="H41" s="21"/>
      <c r="I41" s="21"/>
      <c r="J41" s="35"/>
    </row>
    <row r="42" spans="1:10" ht="20.100000000000001" customHeight="1">
      <c r="A42" s="30" t="s">
        <v>12</v>
      </c>
      <c r="B42" s="324" t="s">
        <v>440</v>
      </c>
      <c r="C42" s="324"/>
      <c r="D42" s="324"/>
      <c r="E42" s="324"/>
      <c r="F42" s="324"/>
      <c r="G42" s="22"/>
      <c r="H42" s="22"/>
      <c r="I42" s="22"/>
      <c r="J42" s="41"/>
    </row>
    <row r="43" spans="1:10" ht="20.100000000000001" customHeight="1">
      <c r="A43" s="30" t="s">
        <v>13</v>
      </c>
      <c r="B43" s="324" t="s">
        <v>414</v>
      </c>
      <c r="C43" s="324"/>
      <c r="D43" s="324"/>
      <c r="E43" s="324"/>
      <c r="F43" s="324"/>
      <c r="G43" s="21"/>
      <c r="H43" s="21"/>
      <c r="I43" s="21"/>
      <c r="J43" s="35"/>
    </row>
    <row r="44" spans="1:10" s="10" customFormat="1">
      <c r="A44" s="28"/>
      <c r="F44" s="2"/>
      <c r="G44" s="2"/>
      <c r="H44" s="2"/>
      <c r="I44" s="2"/>
      <c r="J44" s="2"/>
    </row>
    <row r="45" spans="1:10" s="10" customFormat="1">
      <c r="A45" s="28"/>
      <c r="F45" s="2"/>
      <c r="G45" s="2"/>
      <c r="H45" s="2"/>
      <c r="I45" s="2"/>
      <c r="J45" s="2"/>
    </row>
    <row r="46" spans="1:10" s="10" customFormat="1">
      <c r="A46" s="28"/>
      <c r="F46" s="2"/>
      <c r="G46" s="2"/>
      <c r="H46" s="2"/>
      <c r="I46" s="2"/>
      <c r="J46" s="2"/>
    </row>
    <row r="47" spans="1:10" s="10" customFormat="1">
      <c r="A47" s="28"/>
      <c r="F47" s="2"/>
      <c r="G47" s="2"/>
      <c r="H47" s="2"/>
      <c r="I47" s="2"/>
      <c r="J47" s="2"/>
    </row>
    <row r="48" spans="1:10" s="10" customFormat="1">
      <c r="A48" s="28"/>
      <c r="F48" s="2"/>
      <c r="G48" s="2"/>
      <c r="H48" s="2"/>
      <c r="I48" s="2"/>
      <c r="J48" s="2"/>
    </row>
    <row r="49" spans="1:10" s="10" customFormat="1">
      <c r="A49" s="28"/>
      <c r="F49" s="2"/>
      <c r="G49" s="2"/>
      <c r="H49" s="2"/>
      <c r="I49" s="2"/>
      <c r="J49" s="2"/>
    </row>
    <row r="50" spans="1:10" s="10" customFormat="1">
      <c r="A50" s="28"/>
      <c r="F50" s="2"/>
      <c r="G50" s="2"/>
      <c r="H50" s="2"/>
      <c r="I50" s="2"/>
      <c r="J50" s="2"/>
    </row>
    <row r="51" spans="1:10" s="10" customFormat="1">
      <c r="A51" s="28"/>
      <c r="F51" s="2"/>
      <c r="G51" s="2"/>
      <c r="H51" s="2"/>
      <c r="I51" s="2"/>
      <c r="J51" s="2"/>
    </row>
    <row r="52" spans="1:10" s="10" customFormat="1">
      <c r="A52" s="28"/>
      <c r="F52" s="2"/>
      <c r="G52" s="2"/>
      <c r="H52" s="2"/>
      <c r="I52" s="2"/>
      <c r="J52" s="2"/>
    </row>
    <row r="53" spans="1:10" s="10" customFormat="1">
      <c r="A53" s="28"/>
      <c r="F53" s="2"/>
      <c r="G53" s="2"/>
      <c r="H53" s="2"/>
      <c r="I53" s="2"/>
      <c r="J53" s="2"/>
    </row>
    <row r="54" spans="1:10" s="10" customFormat="1">
      <c r="A54" s="28"/>
      <c r="F54" s="2"/>
      <c r="G54" s="2"/>
      <c r="H54" s="2"/>
      <c r="I54" s="2"/>
      <c r="J54" s="2"/>
    </row>
    <row r="55" spans="1:10" s="10" customFormat="1">
      <c r="A55" s="28"/>
      <c r="F55" s="2"/>
      <c r="G55" s="2"/>
      <c r="H55" s="2"/>
      <c r="I55" s="2"/>
      <c r="J55" s="2"/>
    </row>
    <row r="56" spans="1:10" s="10" customFormat="1">
      <c r="A56" s="28"/>
      <c r="F56" s="2"/>
      <c r="G56" s="2"/>
      <c r="H56" s="2"/>
      <c r="I56" s="2"/>
      <c r="J56" s="2"/>
    </row>
    <row r="57" spans="1:10" s="10" customFormat="1">
      <c r="A57" s="28"/>
      <c r="F57" s="2"/>
      <c r="G57" s="2"/>
      <c r="H57" s="2"/>
      <c r="I57" s="2"/>
      <c r="J57" s="2"/>
    </row>
    <row r="58" spans="1:10" s="10" customFormat="1">
      <c r="A58" s="28"/>
      <c r="F58" s="2"/>
      <c r="G58" s="2"/>
      <c r="H58" s="2"/>
      <c r="I58" s="2"/>
      <c r="J58" s="2"/>
    </row>
    <row r="59" spans="1:10" s="10" customFormat="1">
      <c r="A59" s="28"/>
      <c r="F59" s="2"/>
      <c r="G59" s="2"/>
      <c r="H59" s="2"/>
      <c r="I59" s="2"/>
      <c r="J59" s="2"/>
    </row>
    <row r="60" spans="1:10" s="10" customFormat="1">
      <c r="A60" s="28"/>
      <c r="F60" s="2"/>
      <c r="G60" s="2"/>
      <c r="H60" s="2"/>
      <c r="I60" s="2"/>
      <c r="J60" s="2"/>
    </row>
    <row r="61" spans="1:10" s="10" customFormat="1">
      <c r="A61" s="28"/>
      <c r="F61" s="2"/>
      <c r="G61" s="2"/>
      <c r="H61" s="2"/>
      <c r="I61" s="2"/>
      <c r="J61" s="2"/>
    </row>
    <row r="62" spans="1:10" s="10" customFormat="1">
      <c r="A62" s="28"/>
      <c r="F62" s="2"/>
      <c r="G62" s="2"/>
      <c r="H62" s="2"/>
      <c r="I62" s="2"/>
      <c r="J62" s="2"/>
    </row>
    <row r="63" spans="1:10" s="10" customFormat="1">
      <c r="A63" s="28"/>
      <c r="F63" s="2"/>
      <c r="G63" s="2"/>
      <c r="H63" s="2"/>
      <c r="I63" s="2"/>
      <c r="J63" s="2"/>
    </row>
    <row r="64" spans="1:10" s="10" customFormat="1">
      <c r="A64" s="28"/>
      <c r="F64" s="2"/>
      <c r="G64" s="2"/>
      <c r="H64" s="2"/>
      <c r="I64" s="2"/>
      <c r="J64" s="2"/>
    </row>
    <row r="65" spans="1:10" s="10" customFormat="1">
      <c r="A65" s="28"/>
      <c r="F65" s="2"/>
      <c r="G65" s="2"/>
      <c r="H65" s="2"/>
      <c r="I65" s="2"/>
      <c r="J65" s="2"/>
    </row>
    <row r="66" spans="1:10" s="10" customFormat="1">
      <c r="A66" s="28"/>
      <c r="F66" s="2"/>
      <c r="G66" s="2"/>
      <c r="H66" s="2"/>
      <c r="I66" s="2"/>
      <c r="J66" s="2"/>
    </row>
    <row r="67" spans="1:10" s="10" customFormat="1">
      <c r="A67" s="28"/>
      <c r="F67" s="2"/>
      <c r="G67" s="2"/>
      <c r="H67" s="2"/>
      <c r="I67" s="2"/>
      <c r="J67" s="2"/>
    </row>
    <row r="68" spans="1:10" s="10" customFormat="1">
      <c r="A68" s="28"/>
      <c r="F68" s="2"/>
      <c r="G68" s="2"/>
      <c r="H68" s="2"/>
      <c r="I68" s="2"/>
      <c r="J68" s="2"/>
    </row>
    <row r="69" spans="1:10" s="10" customFormat="1">
      <c r="A69" s="28"/>
      <c r="F69" s="2"/>
      <c r="G69" s="2"/>
      <c r="H69" s="2"/>
      <c r="I69" s="2"/>
      <c r="J69" s="2"/>
    </row>
    <row r="70" spans="1:10" s="10" customFormat="1">
      <c r="A70" s="28"/>
      <c r="F70" s="2"/>
      <c r="G70" s="2"/>
      <c r="H70" s="2"/>
      <c r="I70" s="2"/>
      <c r="J70" s="2"/>
    </row>
    <row r="71" spans="1:10" s="10" customFormat="1">
      <c r="A71" s="28"/>
      <c r="F71" s="2"/>
      <c r="G71" s="2"/>
      <c r="H71" s="2"/>
      <c r="I71" s="2"/>
      <c r="J71" s="2"/>
    </row>
    <row r="72" spans="1:10" s="10" customFormat="1">
      <c r="A72" s="28"/>
      <c r="F72" s="2"/>
      <c r="G72" s="2"/>
      <c r="H72" s="2"/>
      <c r="I72" s="2"/>
      <c r="J72" s="2"/>
    </row>
    <row r="73" spans="1:10" s="10" customFormat="1">
      <c r="A73" s="28"/>
      <c r="F73" s="2"/>
      <c r="G73" s="2"/>
      <c r="H73" s="2"/>
      <c r="I73" s="2"/>
      <c r="J73" s="2"/>
    </row>
    <row r="74" spans="1:10" s="10" customFormat="1">
      <c r="A74" s="28"/>
      <c r="F74" s="2"/>
      <c r="G74" s="2"/>
      <c r="H74" s="2"/>
      <c r="I74" s="2"/>
      <c r="J74" s="2"/>
    </row>
    <row r="75" spans="1:10" s="10" customFormat="1">
      <c r="A75" s="28"/>
      <c r="F75" s="2"/>
      <c r="G75" s="2"/>
      <c r="H75" s="2"/>
      <c r="I75" s="2"/>
      <c r="J75" s="2"/>
    </row>
    <row r="76" spans="1:10" s="10" customFormat="1">
      <c r="A76" s="28"/>
      <c r="F76" s="2"/>
      <c r="G76" s="2"/>
      <c r="H76" s="2"/>
      <c r="I76" s="2"/>
      <c r="J76" s="2"/>
    </row>
    <row r="77" spans="1:10" s="10" customFormat="1">
      <c r="A77" s="28"/>
      <c r="F77" s="2"/>
      <c r="G77" s="2"/>
      <c r="H77" s="2"/>
      <c r="I77" s="2"/>
      <c r="J77" s="2"/>
    </row>
    <row r="78" spans="1:10" s="10" customFormat="1">
      <c r="A78" s="28"/>
      <c r="F78" s="2"/>
      <c r="G78" s="2"/>
      <c r="H78" s="2"/>
      <c r="I78" s="2"/>
      <c r="J78" s="2"/>
    </row>
    <row r="79" spans="1:10" s="10" customFormat="1">
      <c r="A79" s="28"/>
      <c r="F79" s="2"/>
      <c r="G79" s="2"/>
      <c r="H79" s="2"/>
      <c r="I79" s="2"/>
      <c r="J79" s="2"/>
    </row>
    <row r="80" spans="1:10" s="10" customFormat="1">
      <c r="A80" s="28"/>
      <c r="F80" s="2"/>
      <c r="G80" s="2"/>
      <c r="H80" s="2"/>
      <c r="I80" s="2"/>
      <c r="J80" s="2"/>
    </row>
    <row r="81" spans="1:10" s="10" customFormat="1">
      <c r="A81" s="28"/>
      <c r="F81" s="2"/>
      <c r="G81" s="2"/>
      <c r="H81" s="2"/>
      <c r="I81" s="2"/>
      <c r="J81" s="2"/>
    </row>
    <row r="82" spans="1:10" s="10" customFormat="1">
      <c r="A82" s="28"/>
      <c r="F82" s="2"/>
      <c r="G82" s="2"/>
      <c r="H82" s="2"/>
      <c r="I82" s="2"/>
      <c r="J82" s="2"/>
    </row>
    <row r="83" spans="1:10" s="10" customFormat="1">
      <c r="A83" s="28"/>
      <c r="F83" s="2"/>
      <c r="G83" s="2"/>
      <c r="H83" s="2"/>
      <c r="I83" s="2"/>
      <c r="J83" s="2"/>
    </row>
    <row r="84" spans="1:10" s="10" customFormat="1">
      <c r="A84" s="28"/>
      <c r="F84" s="2"/>
      <c r="G84" s="2"/>
      <c r="H84" s="2"/>
      <c r="I84" s="2"/>
      <c r="J84" s="2"/>
    </row>
    <row r="85" spans="1:10" s="10" customFormat="1">
      <c r="A85" s="28"/>
      <c r="F85" s="2"/>
      <c r="G85" s="2"/>
      <c r="H85" s="2"/>
      <c r="I85" s="2"/>
      <c r="J85" s="2"/>
    </row>
    <row r="86" spans="1:10" s="10" customFormat="1">
      <c r="A86" s="28"/>
      <c r="F86" s="2"/>
      <c r="G86" s="2"/>
      <c r="H86" s="2"/>
      <c r="I86" s="2"/>
      <c r="J86" s="2"/>
    </row>
    <row r="87" spans="1:10" s="10" customFormat="1">
      <c r="A87" s="28"/>
      <c r="F87" s="2"/>
      <c r="G87" s="2"/>
      <c r="H87" s="2"/>
      <c r="I87" s="2"/>
      <c r="J87" s="2"/>
    </row>
    <row r="88" spans="1:10" s="10" customFormat="1">
      <c r="A88" s="28"/>
      <c r="F88" s="2"/>
      <c r="G88" s="2"/>
      <c r="H88" s="2"/>
      <c r="I88" s="2"/>
      <c r="J88" s="2"/>
    </row>
    <row r="89" spans="1:10" s="10" customFormat="1">
      <c r="A89" s="28"/>
      <c r="F89" s="2"/>
      <c r="G89" s="2"/>
      <c r="H89" s="2"/>
      <c r="I89" s="2"/>
      <c r="J89" s="2"/>
    </row>
    <row r="90" spans="1:10" s="10" customFormat="1">
      <c r="A90" s="28"/>
      <c r="F90" s="2"/>
      <c r="G90" s="2"/>
      <c r="H90" s="2"/>
      <c r="I90" s="2"/>
      <c r="J90" s="2"/>
    </row>
    <row r="91" spans="1:10" s="10" customFormat="1">
      <c r="A91" s="28"/>
      <c r="F91" s="2"/>
      <c r="G91" s="2"/>
      <c r="H91" s="2"/>
      <c r="I91" s="2"/>
      <c r="J91" s="2"/>
    </row>
    <row r="92" spans="1:10" s="10" customFormat="1">
      <c r="A92" s="28"/>
      <c r="F92" s="2"/>
      <c r="G92" s="2"/>
      <c r="H92" s="2"/>
      <c r="I92" s="2"/>
      <c r="J92" s="2"/>
    </row>
    <row r="93" spans="1:10" s="10" customFormat="1">
      <c r="A93" s="28"/>
      <c r="F93" s="2"/>
      <c r="G93" s="2"/>
      <c r="H93" s="2"/>
      <c r="I93" s="2"/>
      <c r="J93" s="2"/>
    </row>
    <row r="94" spans="1:10" s="10" customFormat="1">
      <c r="A94" s="28"/>
      <c r="F94" s="2"/>
      <c r="G94" s="2"/>
      <c r="H94" s="2"/>
      <c r="I94" s="2"/>
      <c r="J94" s="2"/>
    </row>
    <row r="95" spans="1:10" s="10" customFormat="1">
      <c r="A95" s="28"/>
      <c r="F95" s="2"/>
      <c r="G95" s="2"/>
      <c r="H95" s="2"/>
      <c r="I95" s="2"/>
      <c r="J95" s="2"/>
    </row>
    <row r="96" spans="1:10" s="10" customFormat="1">
      <c r="A96" s="28"/>
      <c r="F96" s="2"/>
      <c r="G96" s="2"/>
      <c r="H96" s="2"/>
      <c r="I96" s="2"/>
      <c r="J96" s="2"/>
    </row>
    <row r="97" spans="1:10" s="10" customFormat="1">
      <c r="A97" s="28"/>
      <c r="F97" s="2"/>
      <c r="G97" s="2"/>
      <c r="H97" s="2"/>
      <c r="I97" s="2"/>
      <c r="J97" s="2"/>
    </row>
    <row r="98" spans="1:10" s="10" customFormat="1">
      <c r="A98" s="28"/>
      <c r="F98" s="2"/>
      <c r="G98" s="2"/>
      <c r="H98" s="2"/>
      <c r="I98" s="2"/>
      <c r="J98" s="2"/>
    </row>
    <row r="99" spans="1:10" s="10" customFormat="1">
      <c r="A99" s="28"/>
      <c r="F99" s="2"/>
      <c r="G99" s="2"/>
      <c r="H99" s="2"/>
      <c r="I99" s="2"/>
      <c r="J99" s="2"/>
    </row>
    <row r="100" spans="1:10" s="10" customFormat="1">
      <c r="A100" s="28"/>
      <c r="F100" s="2"/>
      <c r="G100" s="2"/>
      <c r="H100" s="2"/>
      <c r="I100" s="2"/>
      <c r="J100" s="2"/>
    </row>
    <row r="101" spans="1:10" s="10" customFormat="1">
      <c r="A101" s="28"/>
      <c r="F101" s="2"/>
      <c r="G101" s="2"/>
      <c r="H101" s="2"/>
      <c r="I101" s="2"/>
      <c r="J101" s="2"/>
    </row>
    <row r="102" spans="1:10" s="10" customFormat="1">
      <c r="A102" s="28"/>
      <c r="F102" s="2"/>
      <c r="G102" s="2"/>
      <c r="H102" s="2"/>
      <c r="I102" s="2"/>
      <c r="J102" s="2"/>
    </row>
    <row r="103" spans="1:10" s="10" customFormat="1">
      <c r="A103" s="28"/>
      <c r="F103" s="2"/>
      <c r="G103" s="2"/>
      <c r="H103" s="2"/>
      <c r="I103" s="2"/>
      <c r="J103" s="2"/>
    </row>
    <row r="104" spans="1:10" s="10" customFormat="1">
      <c r="A104" s="28"/>
      <c r="F104" s="2"/>
      <c r="G104" s="2"/>
      <c r="H104" s="2"/>
      <c r="I104" s="2"/>
      <c r="J104" s="2"/>
    </row>
    <row r="105" spans="1:10" s="10" customFormat="1">
      <c r="A105" s="28"/>
      <c r="F105" s="2"/>
      <c r="G105" s="2"/>
      <c r="H105" s="2"/>
      <c r="I105" s="2"/>
      <c r="J105" s="2"/>
    </row>
    <row r="106" spans="1:10" s="10" customFormat="1">
      <c r="A106" s="28"/>
      <c r="F106" s="2"/>
      <c r="G106" s="2"/>
      <c r="H106" s="2"/>
      <c r="I106" s="2"/>
      <c r="J106" s="2"/>
    </row>
    <row r="107" spans="1:10" s="10" customFormat="1">
      <c r="A107" s="28"/>
      <c r="F107" s="2"/>
      <c r="G107" s="2"/>
      <c r="H107" s="2"/>
      <c r="I107" s="2"/>
      <c r="J107" s="2"/>
    </row>
    <row r="108" spans="1:10" s="10" customFormat="1">
      <c r="A108" s="28"/>
      <c r="F108" s="2"/>
      <c r="G108" s="2"/>
      <c r="H108" s="2"/>
      <c r="I108" s="2"/>
      <c r="J108" s="2"/>
    </row>
    <row r="109" spans="1:10" s="10" customFormat="1">
      <c r="A109" s="28"/>
      <c r="F109" s="2"/>
      <c r="G109" s="2"/>
      <c r="H109" s="2"/>
      <c r="I109" s="2"/>
      <c r="J109" s="2"/>
    </row>
    <row r="110" spans="1:10" s="10" customFormat="1">
      <c r="A110" s="28"/>
      <c r="F110" s="2"/>
      <c r="G110" s="2"/>
      <c r="H110" s="2"/>
      <c r="I110" s="2"/>
      <c r="J110" s="2"/>
    </row>
    <row r="111" spans="1:10" s="10" customFormat="1">
      <c r="A111" s="28"/>
      <c r="F111" s="2"/>
      <c r="G111" s="2"/>
      <c r="H111" s="2"/>
      <c r="I111" s="2"/>
      <c r="J111" s="2"/>
    </row>
    <row r="112" spans="1:10" s="10" customFormat="1">
      <c r="A112" s="28"/>
      <c r="F112" s="2"/>
      <c r="G112" s="2"/>
      <c r="H112" s="2"/>
      <c r="I112" s="2"/>
      <c r="J112" s="2"/>
    </row>
    <row r="113" spans="1:10" s="10" customFormat="1">
      <c r="A113" s="28"/>
      <c r="F113" s="2"/>
      <c r="G113" s="2"/>
      <c r="H113" s="2"/>
      <c r="I113" s="2"/>
      <c r="J113" s="2"/>
    </row>
    <row r="114" spans="1:10" s="10" customFormat="1">
      <c r="A114" s="28"/>
      <c r="F114" s="2"/>
      <c r="G114" s="2"/>
      <c r="H114" s="2"/>
      <c r="I114" s="2"/>
      <c r="J114" s="2"/>
    </row>
    <row r="115" spans="1:10" s="10" customFormat="1">
      <c r="A115" s="28"/>
      <c r="F115" s="2"/>
      <c r="G115" s="2"/>
      <c r="H115" s="2"/>
      <c r="I115" s="2"/>
      <c r="J115" s="2"/>
    </row>
    <row r="116" spans="1:10" s="10" customFormat="1">
      <c r="A116" s="28"/>
      <c r="F116" s="2"/>
      <c r="G116" s="2"/>
      <c r="H116" s="2"/>
      <c r="I116" s="2"/>
      <c r="J116" s="2"/>
    </row>
    <row r="117" spans="1:10" s="10" customFormat="1">
      <c r="A117" s="28"/>
      <c r="F117" s="2"/>
      <c r="G117" s="2"/>
      <c r="H117" s="2"/>
      <c r="I117" s="2"/>
      <c r="J117" s="2"/>
    </row>
    <row r="118" spans="1:10" s="10" customFormat="1">
      <c r="A118" s="28"/>
      <c r="F118" s="2"/>
      <c r="G118" s="2"/>
      <c r="H118" s="2"/>
      <c r="I118" s="2"/>
      <c r="J118" s="2"/>
    </row>
    <row r="119" spans="1:10" s="10" customFormat="1">
      <c r="A119" s="28"/>
      <c r="F119" s="2"/>
      <c r="G119" s="2"/>
      <c r="H119" s="2"/>
      <c r="I119" s="2"/>
      <c r="J119" s="2"/>
    </row>
    <row r="120" spans="1:10" s="10" customFormat="1">
      <c r="A120" s="28"/>
      <c r="F120" s="2"/>
      <c r="G120" s="2"/>
      <c r="H120" s="2"/>
      <c r="I120" s="2"/>
      <c r="J120" s="2"/>
    </row>
    <row r="121" spans="1:10" s="10" customFormat="1">
      <c r="A121" s="28"/>
      <c r="F121" s="2"/>
      <c r="G121" s="2"/>
      <c r="H121" s="2"/>
      <c r="I121" s="2"/>
      <c r="J121" s="2"/>
    </row>
    <row r="122" spans="1:10" s="10" customFormat="1">
      <c r="A122" s="28"/>
      <c r="F122" s="2"/>
      <c r="G122" s="2"/>
      <c r="H122" s="2"/>
      <c r="I122" s="2"/>
      <c r="J122" s="2"/>
    </row>
    <row r="123" spans="1:10" s="10" customFormat="1">
      <c r="A123" s="28"/>
      <c r="F123" s="2"/>
      <c r="G123" s="2"/>
      <c r="H123" s="2"/>
      <c r="I123" s="2"/>
      <c r="J123" s="2"/>
    </row>
    <row r="124" spans="1:10" s="10" customFormat="1">
      <c r="A124" s="28"/>
      <c r="F124" s="2"/>
      <c r="G124" s="2"/>
      <c r="H124" s="2"/>
      <c r="I124" s="2"/>
      <c r="J124" s="2"/>
    </row>
    <row r="125" spans="1:10" s="10" customFormat="1">
      <c r="A125" s="28"/>
      <c r="F125" s="2"/>
      <c r="G125" s="2"/>
      <c r="H125" s="2"/>
      <c r="I125" s="2"/>
      <c r="J125" s="2"/>
    </row>
    <row r="126" spans="1:10" s="10" customFormat="1">
      <c r="A126" s="28"/>
      <c r="F126" s="2"/>
      <c r="G126" s="2"/>
      <c r="H126" s="2"/>
      <c r="I126" s="2"/>
      <c r="J126" s="2"/>
    </row>
    <row r="127" spans="1:10" s="10" customFormat="1">
      <c r="A127" s="28"/>
      <c r="F127" s="2"/>
      <c r="G127" s="2"/>
      <c r="H127" s="2"/>
      <c r="I127" s="2"/>
      <c r="J127" s="2"/>
    </row>
    <row r="128" spans="1:10" s="10" customFormat="1">
      <c r="A128" s="28"/>
      <c r="F128" s="2"/>
      <c r="G128" s="2"/>
      <c r="H128" s="2"/>
      <c r="I128" s="2"/>
      <c r="J128" s="2"/>
    </row>
    <row r="129" spans="1:10" s="10" customFormat="1">
      <c r="A129" s="28"/>
      <c r="F129" s="2"/>
      <c r="G129" s="2"/>
      <c r="H129" s="2"/>
      <c r="I129" s="2"/>
      <c r="J129" s="2"/>
    </row>
    <row r="130" spans="1:10" s="10" customFormat="1">
      <c r="A130" s="28"/>
      <c r="F130" s="2"/>
      <c r="G130" s="2"/>
      <c r="H130" s="2"/>
      <c r="I130" s="2"/>
      <c r="J130" s="2"/>
    </row>
    <row r="131" spans="1:10" s="10" customFormat="1">
      <c r="A131" s="28"/>
      <c r="F131" s="2"/>
      <c r="G131" s="2"/>
      <c r="H131" s="2"/>
      <c r="I131" s="2"/>
      <c r="J131" s="2"/>
    </row>
    <row r="132" spans="1:10" s="10" customFormat="1">
      <c r="A132" s="28"/>
      <c r="F132" s="2"/>
      <c r="G132" s="2"/>
      <c r="H132" s="2"/>
      <c r="I132" s="2"/>
      <c r="J132" s="2"/>
    </row>
    <row r="133" spans="1:10" s="10" customFormat="1">
      <c r="A133" s="28"/>
      <c r="F133" s="2"/>
      <c r="G133" s="2"/>
      <c r="H133" s="2"/>
      <c r="I133" s="2"/>
      <c r="J133" s="2"/>
    </row>
    <row r="134" spans="1:10" s="10" customFormat="1">
      <c r="A134" s="28"/>
      <c r="F134" s="2"/>
      <c r="G134" s="2"/>
      <c r="H134" s="2"/>
      <c r="I134" s="2"/>
      <c r="J134" s="2"/>
    </row>
    <row r="135" spans="1:10" s="10" customFormat="1">
      <c r="A135" s="28"/>
      <c r="F135" s="2"/>
      <c r="G135" s="2"/>
      <c r="H135" s="2"/>
      <c r="I135" s="2"/>
      <c r="J135" s="2"/>
    </row>
    <row r="136" spans="1:10" s="10" customFormat="1">
      <c r="A136" s="28"/>
      <c r="F136" s="2"/>
      <c r="G136" s="2"/>
      <c r="H136" s="2"/>
      <c r="I136" s="2"/>
      <c r="J136" s="2"/>
    </row>
    <row r="137" spans="1:10" s="10" customFormat="1">
      <c r="A137" s="28"/>
      <c r="F137" s="2"/>
      <c r="G137" s="2"/>
      <c r="H137" s="2"/>
      <c r="I137" s="2"/>
      <c r="J137" s="2"/>
    </row>
    <row r="138" spans="1:10" s="10" customFormat="1">
      <c r="A138" s="28"/>
      <c r="F138" s="2"/>
      <c r="G138" s="2"/>
      <c r="H138" s="2"/>
      <c r="I138" s="2"/>
      <c r="J138" s="2"/>
    </row>
    <row r="139" spans="1:10" s="10" customFormat="1">
      <c r="A139" s="28"/>
      <c r="F139" s="2"/>
      <c r="G139" s="2"/>
      <c r="H139" s="2"/>
      <c r="I139" s="2"/>
      <c r="J139" s="2"/>
    </row>
    <row r="140" spans="1:10" s="10" customFormat="1">
      <c r="A140" s="28"/>
      <c r="F140" s="2"/>
      <c r="G140" s="2"/>
      <c r="H140" s="2"/>
      <c r="I140" s="2"/>
      <c r="J140" s="2"/>
    </row>
    <row r="141" spans="1:10" s="10" customFormat="1">
      <c r="A141" s="28"/>
      <c r="F141" s="2"/>
      <c r="G141" s="2"/>
      <c r="H141" s="2"/>
      <c r="I141" s="2"/>
      <c r="J141" s="2"/>
    </row>
    <row r="142" spans="1:10" s="10" customFormat="1">
      <c r="A142" s="28"/>
      <c r="F142" s="2"/>
      <c r="G142" s="2"/>
      <c r="H142" s="2"/>
      <c r="I142" s="2"/>
      <c r="J142" s="2"/>
    </row>
    <row r="143" spans="1:10" s="10" customFormat="1">
      <c r="A143" s="28"/>
      <c r="F143" s="2"/>
      <c r="G143" s="2"/>
      <c r="H143" s="2"/>
      <c r="I143" s="2"/>
      <c r="J143" s="2"/>
    </row>
    <row r="144" spans="1:10" s="10" customFormat="1">
      <c r="A144" s="28"/>
      <c r="F144" s="2"/>
      <c r="G144" s="2"/>
      <c r="H144" s="2"/>
      <c r="I144" s="2"/>
      <c r="J144" s="2"/>
    </row>
    <row r="145" spans="1:10" s="10" customFormat="1">
      <c r="A145" s="28"/>
      <c r="F145" s="2"/>
      <c r="G145" s="2"/>
      <c r="H145" s="2"/>
      <c r="I145" s="2"/>
      <c r="J145" s="2"/>
    </row>
    <row r="146" spans="1:10" s="10" customFormat="1">
      <c r="A146" s="28"/>
      <c r="F146" s="2"/>
      <c r="G146" s="2"/>
      <c r="H146" s="2"/>
      <c r="I146" s="2"/>
      <c r="J146" s="2"/>
    </row>
    <row r="147" spans="1:10" s="10" customFormat="1">
      <c r="A147" s="28"/>
      <c r="F147" s="2"/>
      <c r="G147" s="2"/>
      <c r="H147" s="2"/>
      <c r="I147" s="2"/>
      <c r="J147" s="2"/>
    </row>
    <row r="148" spans="1:10" s="10" customFormat="1">
      <c r="A148" s="28"/>
      <c r="F148" s="2"/>
      <c r="G148" s="2"/>
      <c r="H148" s="2"/>
      <c r="I148" s="2"/>
      <c r="J148" s="2"/>
    </row>
    <row r="149" spans="1:10" s="10" customFormat="1">
      <c r="A149" s="28"/>
      <c r="F149" s="2"/>
      <c r="G149" s="2"/>
      <c r="H149" s="2"/>
      <c r="I149" s="2"/>
      <c r="J149" s="2"/>
    </row>
    <row r="150" spans="1:10" s="10" customFormat="1">
      <c r="A150" s="28"/>
      <c r="F150" s="2"/>
      <c r="G150" s="2"/>
      <c r="H150" s="2"/>
      <c r="I150" s="2"/>
      <c r="J150" s="2"/>
    </row>
    <row r="151" spans="1:10" s="10" customFormat="1">
      <c r="A151" s="28"/>
      <c r="F151" s="2"/>
      <c r="G151" s="2"/>
      <c r="H151" s="2"/>
      <c r="I151" s="2"/>
      <c r="J151" s="2"/>
    </row>
    <row r="152" spans="1:10" s="10" customFormat="1">
      <c r="A152" s="28"/>
      <c r="F152" s="2"/>
      <c r="G152" s="2"/>
      <c r="H152" s="2"/>
      <c r="I152" s="2"/>
      <c r="J152" s="2"/>
    </row>
    <row r="153" spans="1:10" s="10" customFormat="1">
      <c r="A153" s="28"/>
      <c r="F153" s="2"/>
      <c r="G153" s="2"/>
      <c r="H153" s="2"/>
      <c r="I153" s="2"/>
      <c r="J153" s="2"/>
    </row>
    <row r="154" spans="1:10" s="10" customFormat="1">
      <c r="A154" s="28"/>
      <c r="F154" s="2"/>
      <c r="G154" s="2"/>
      <c r="H154" s="2"/>
      <c r="I154" s="2"/>
      <c r="J154" s="2"/>
    </row>
    <row r="155" spans="1:10" s="10" customFormat="1">
      <c r="A155" s="28"/>
      <c r="F155" s="2"/>
      <c r="G155" s="2"/>
      <c r="H155" s="2"/>
      <c r="I155" s="2"/>
      <c r="J155" s="2"/>
    </row>
    <row r="156" spans="1:10" s="10" customFormat="1">
      <c r="A156" s="28"/>
      <c r="F156" s="2"/>
      <c r="G156" s="2"/>
      <c r="H156" s="2"/>
      <c r="I156" s="2"/>
      <c r="J156" s="2"/>
    </row>
    <row r="157" spans="1:10" s="10" customFormat="1">
      <c r="A157" s="28"/>
      <c r="F157" s="2"/>
      <c r="G157" s="2"/>
      <c r="H157" s="2"/>
      <c r="I157" s="2"/>
      <c r="J157" s="2"/>
    </row>
    <row r="158" spans="1:10" s="10" customFormat="1">
      <c r="A158" s="28"/>
      <c r="F158" s="2"/>
      <c r="G158" s="2"/>
      <c r="H158" s="2"/>
      <c r="I158" s="2"/>
      <c r="J158" s="2"/>
    </row>
    <row r="159" spans="1:10" s="10" customFormat="1">
      <c r="A159" s="28"/>
      <c r="F159" s="2"/>
      <c r="G159" s="2"/>
      <c r="H159" s="2"/>
      <c r="I159" s="2"/>
      <c r="J159" s="2"/>
    </row>
    <row r="160" spans="1:10" s="10" customFormat="1">
      <c r="A160" s="28"/>
      <c r="F160" s="2"/>
      <c r="G160" s="2"/>
      <c r="H160" s="2"/>
      <c r="I160" s="2"/>
      <c r="J160" s="2"/>
    </row>
    <row r="161" spans="1:10" s="10" customFormat="1">
      <c r="A161" s="28"/>
      <c r="F161" s="2"/>
      <c r="G161" s="2"/>
      <c r="H161" s="2"/>
      <c r="I161" s="2"/>
      <c r="J161" s="2"/>
    </row>
    <row r="162" spans="1:10" s="10" customFormat="1">
      <c r="A162" s="28"/>
      <c r="F162" s="2"/>
      <c r="G162" s="2"/>
      <c r="H162" s="2"/>
      <c r="I162" s="2"/>
      <c r="J162" s="2"/>
    </row>
    <row r="163" spans="1:10" s="10" customFormat="1">
      <c r="A163" s="28"/>
      <c r="F163" s="2"/>
      <c r="G163" s="2"/>
      <c r="H163" s="2"/>
      <c r="I163" s="2"/>
      <c r="J163" s="2"/>
    </row>
    <row r="164" spans="1:10" s="10" customFormat="1">
      <c r="A164" s="28"/>
      <c r="F164" s="2"/>
      <c r="G164" s="2"/>
      <c r="H164" s="2"/>
      <c r="I164" s="2"/>
      <c r="J164" s="2"/>
    </row>
    <row r="165" spans="1:10" s="10" customFormat="1">
      <c r="A165" s="28"/>
      <c r="F165" s="2"/>
      <c r="G165" s="2"/>
      <c r="H165" s="2"/>
      <c r="I165" s="2"/>
      <c r="J165" s="2"/>
    </row>
    <row r="166" spans="1:10" s="10" customFormat="1">
      <c r="A166" s="28"/>
      <c r="F166" s="2"/>
      <c r="G166" s="2"/>
      <c r="H166" s="2"/>
      <c r="I166" s="2"/>
      <c r="J166" s="2"/>
    </row>
    <row r="167" spans="1:10" s="10" customFormat="1">
      <c r="A167" s="28"/>
      <c r="F167" s="2"/>
      <c r="G167" s="2"/>
      <c r="H167" s="2"/>
      <c r="I167" s="2"/>
      <c r="J167" s="2"/>
    </row>
    <row r="168" spans="1:10" s="10" customFormat="1">
      <c r="A168" s="28"/>
      <c r="F168" s="2"/>
      <c r="G168" s="2"/>
      <c r="H168" s="2"/>
      <c r="I168" s="2"/>
      <c r="J168" s="2"/>
    </row>
    <row r="169" spans="1:10" s="10" customFormat="1">
      <c r="A169" s="28"/>
      <c r="F169" s="2"/>
      <c r="G169" s="2"/>
      <c r="H169" s="2"/>
      <c r="I169" s="2"/>
      <c r="J169" s="2"/>
    </row>
    <row r="170" spans="1:10" s="10" customFormat="1">
      <c r="A170" s="28"/>
      <c r="F170" s="2"/>
      <c r="G170" s="2"/>
      <c r="H170" s="2"/>
      <c r="I170" s="2"/>
      <c r="J170" s="2"/>
    </row>
    <row r="171" spans="1:10" s="10" customFormat="1">
      <c r="A171" s="28"/>
      <c r="F171" s="2"/>
      <c r="G171" s="2"/>
      <c r="H171" s="2"/>
      <c r="I171" s="2"/>
      <c r="J171" s="2"/>
    </row>
    <row r="172" spans="1:10" s="10" customFormat="1">
      <c r="A172" s="28"/>
      <c r="F172" s="2"/>
      <c r="G172" s="2"/>
      <c r="H172" s="2"/>
      <c r="I172" s="2"/>
      <c r="J172" s="2"/>
    </row>
    <row r="173" spans="1:10" s="10" customFormat="1">
      <c r="A173" s="28"/>
      <c r="F173" s="2"/>
      <c r="G173" s="2"/>
      <c r="H173" s="2"/>
      <c r="I173" s="2"/>
      <c r="J173" s="2"/>
    </row>
    <row r="174" spans="1:10" s="10" customFormat="1">
      <c r="A174" s="28"/>
      <c r="F174" s="2"/>
      <c r="G174" s="2"/>
      <c r="H174" s="2"/>
      <c r="I174" s="2"/>
      <c r="J174" s="2"/>
    </row>
    <row r="175" spans="1:10" s="10" customFormat="1">
      <c r="A175" s="28"/>
      <c r="F175" s="2"/>
      <c r="G175" s="2"/>
      <c r="H175" s="2"/>
      <c r="I175" s="2"/>
      <c r="J175" s="2"/>
    </row>
    <row r="176" spans="1:10" s="10" customFormat="1">
      <c r="A176" s="28"/>
      <c r="F176" s="2"/>
      <c r="G176" s="2"/>
      <c r="H176" s="2"/>
      <c r="I176" s="2"/>
      <c r="J176" s="2"/>
    </row>
    <row r="177" spans="1:10" s="10" customFormat="1">
      <c r="A177" s="28"/>
      <c r="F177" s="2"/>
      <c r="G177" s="2"/>
      <c r="H177" s="2"/>
      <c r="I177" s="2"/>
      <c r="J177" s="2"/>
    </row>
    <row r="178" spans="1:10" s="10" customFormat="1">
      <c r="A178" s="28"/>
      <c r="F178" s="2"/>
      <c r="G178" s="2"/>
      <c r="H178" s="2"/>
      <c r="I178" s="2"/>
      <c r="J178" s="2"/>
    </row>
    <row r="179" spans="1:10" s="10" customFormat="1">
      <c r="A179" s="28"/>
      <c r="F179" s="2"/>
      <c r="G179" s="2"/>
      <c r="H179" s="2"/>
      <c r="I179" s="2"/>
      <c r="J179" s="2"/>
    </row>
    <row r="180" spans="1:10" s="10" customFormat="1">
      <c r="A180" s="28"/>
      <c r="F180" s="2"/>
      <c r="G180" s="2"/>
      <c r="H180" s="2"/>
      <c r="I180" s="2"/>
      <c r="J180" s="2"/>
    </row>
    <row r="181" spans="1:10" s="10" customFormat="1">
      <c r="A181" s="28"/>
      <c r="F181" s="2"/>
      <c r="G181" s="2"/>
      <c r="H181" s="2"/>
      <c r="I181" s="2"/>
      <c r="J181" s="2"/>
    </row>
    <row r="182" spans="1:10" s="10" customFormat="1">
      <c r="A182" s="28"/>
      <c r="F182" s="2"/>
      <c r="G182" s="2"/>
      <c r="H182" s="2"/>
      <c r="I182" s="2"/>
      <c r="J182" s="2"/>
    </row>
    <row r="183" spans="1:10" s="10" customFormat="1">
      <c r="A183" s="28"/>
      <c r="F183" s="2"/>
      <c r="G183" s="2"/>
      <c r="H183" s="2"/>
      <c r="I183" s="2"/>
      <c r="J183" s="2"/>
    </row>
    <row r="184" spans="1:10" s="10" customFormat="1">
      <c r="A184" s="28"/>
      <c r="F184" s="2"/>
      <c r="G184" s="2"/>
      <c r="H184" s="2"/>
      <c r="I184" s="2"/>
      <c r="J184" s="2"/>
    </row>
    <row r="185" spans="1:10" s="10" customFormat="1">
      <c r="A185" s="28"/>
      <c r="F185" s="2"/>
      <c r="G185" s="2"/>
      <c r="H185" s="2"/>
      <c r="I185" s="2"/>
      <c r="J185" s="2"/>
    </row>
    <row r="186" spans="1:10" s="10" customFormat="1">
      <c r="A186" s="28"/>
      <c r="F186" s="2"/>
      <c r="G186" s="2"/>
      <c r="H186" s="2"/>
      <c r="I186" s="2"/>
      <c r="J186" s="2"/>
    </row>
  </sheetData>
  <mergeCells count="45">
    <mergeCell ref="A16:B16"/>
    <mergeCell ref="G5:H5"/>
    <mergeCell ref="G1:J1"/>
    <mergeCell ref="G2:J2"/>
    <mergeCell ref="A3:B3"/>
    <mergeCell ref="G3:J3"/>
    <mergeCell ref="G4:J4"/>
    <mergeCell ref="A12:B12"/>
    <mergeCell ref="G12:J12"/>
    <mergeCell ref="A13:B13"/>
    <mergeCell ref="G14:J14"/>
    <mergeCell ref="A15:B15"/>
    <mergeCell ref="G15:J15"/>
    <mergeCell ref="A8:B8"/>
    <mergeCell ref="G8:J8"/>
    <mergeCell ref="G9:J9"/>
    <mergeCell ref="G10:J10"/>
    <mergeCell ref="A11:B11"/>
    <mergeCell ref="B33:F33"/>
    <mergeCell ref="B34:F34"/>
    <mergeCell ref="B35:G35"/>
    <mergeCell ref="A18:B18"/>
    <mergeCell ref="G18:J18"/>
    <mergeCell ref="A25:B25"/>
    <mergeCell ref="G25:J25"/>
    <mergeCell ref="G27:J27"/>
    <mergeCell ref="B31:F31"/>
    <mergeCell ref="B32:F32"/>
    <mergeCell ref="A20:B20"/>
    <mergeCell ref="A21:B21"/>
    <mergeCell ref="G22:J22"/>
    <mergeCell ref="A23:B23"/>
    <mergeCell ref="G24:J24"/>
    <mergeCell ref="B43:F43"/>
    <mergeCell ref="B36:F36"/>
    <mergeCell ref="G36:H36"/>
    <mergeCell ref="B37:F37"/>
    <mergeCell ref="G37:H37"/>
    <mergeCell ref="B38:F38"/>
    <mergeCell ref="G38:I38"/>
    <mergeCell ref="B39:F39"/>
    <mergeCell ref="G39:I39"/>
    <mergeCell ref="B40:F40"/>
    <mergeCell ref="B41:F41"/>
    <mergeCell ref="B42:F42"/>
  </mergeCells>
  <pageMargins left="0.70866141732283472" right="0.31496062992125984" top="0.35433070866141736" bottom="0.35433070866141736"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296"/>
  <sheetViews>
    <sheetView topLeftCell="A44" zoomScaleNormal="100" zoomScaleSheetLayoutView="69" workbookViewId="0">
      <selection activeCell="E139" sqref="E139"/>
    </sheetView>
  </sheetViews>
  <sheetFormatPr defaultRowHeight="18.75"/>
  <cols>
    <col min="1" max="1" width="73.28515625" style="120" customWidth="1"/>
    <col min="2" max="2" width="15.28515625" style="113" customWidth="1"/>
    <col min="3" max="5" width="18" style="113" customWidth="1"/>
    <col min="6" max="9" width="16.7109375" style="120" customWidth="1"/>
    <col min="10" max="10" width="18.140625" style="120" customWidth="1"/>
    <col min="11" max="11" width="18.28515625" style="120" customWidth="1"/>
    <col min="12" max="12" width="13" style="120" customWidth="1"/>
    <col min="13" max="14" width="9.140625" style="120"/>
    <col min="15" max="15" width="10.5703125" style="120" customWidth="1"/>
    <col min="16" max="16384" width="9.140625" style="120"/>
  </cols>
  <sheetData>
    <row r="1" spans="1:10" ht="18.75" hidden="1" customHeight="1">
      <c r="A1" s="120" t="s">
        <v>122</v>
      </c>
      <c r="B1" s="9"/>
      <c r="D1" s="120"/>
      <c r="E1" s="120"/>
      <c r="G1" s="336" t="s">
        <v>20</v>
      </c>
      <c r="H1" s="336"/>
      <c r="I1" s="336"/>
      <c r="J1" s="336"/>
    </row>
    <row r="2" spans="1:10" hidden="1">
      <c r="B2" s="9"/>
      <c r="D2" s="120"/>
      <c r="E2" s="120"/>
      <c r="G2" s="336" t="s">
        <v>108</v>
      </c>
      <c r="H2" s="336"/>
      <c r="I2" s="336"/>
      <c r="J2" s="336"/>
    </row>
    <row r="3" spans="1:10" ht="18.75" hidden="1" customHeight="1">
      <c r="A3" s="337"/>
      <c r="B3" s="333"/>
      <c r="D3" s="9"/>
      <c r="E3" s="9"/>
      <c r="F3" s="9"/>
      <c r="G3" s="336" t="s">
        <v>198</v>
      </c>
      <c r="H3" s="336"/>
      <c r="I3" s="336"/>
      <c r="J3" s="336"/>
    </row>
    <row r="4" spans="1:10" ht="18.75" hidden="1" customHeight="1">
      <c r="A4" s="113" t="s">
        <v>21</v>
      </c>
      <c r="D4" s="9"/>
      <c r="E4" s="9"/>
      <c r="F4" s="9"/>
      <c r="G4" s="338" t="s">
        <v>199</v>
      </c>
      <c r="H4" s="338"/>
      <c r="I4" s="338"/>
      <c r="J4" s="338"/>
    </row>
    <row r="5" spans="1:10" ht="18.75" hidden="1" customHeight="1">
      <c r="A5" s="117"/>
      <c r="B5" s="117"/>
      <c r="D5" s="9"/>
      <c r="E5" s="9"/>
      <c r="F5" s="9"/>
      <c r="G5" s="336" t="s">
        <v>236</v>
      </c>
      <c r="H5" s="336"/>
      <c r="I5" s="114"/>
      <c r="J5" s="114"/>
    </row>
    <row r="6" spans="1:10" ht="18.75" hidden="1" customHeight="1">
      <c r="A6" s="113"/>
      <c r="D6" s="9"/>
      <c r="E6" s="9"/>
      <c r="F6" s="9"/>
      <c r="G6" s="114"/>
      <c r="H6" s="114"/>
      <c r="I6" s="114"/>
      <c r="J6" s="114"/>
    </row>
    <row r="7" spans="1:10" ht="18.75" hidden="1" customHeight="1">
      <c r="A7" s="113"/>
      <c r="D7" s="9"/>
      <c r="E7" s="9"/>
      <c r="F7" s="9"/>
      <c r="G7" s="114"/>
      <c r="H7" s="114"/>
      <c r="I7" s="114"/>
      <c r="J7" s="114"/>
    </row>
    <row r="8" spans="1:10" ht="18.75" hidden="1" customHeight="1">
      <c r="A8" s="331" t="s">
        <v>369</v>
      </c>
      <c r="B8" s="331"/>
      <c r="D8" s="9"/>
      <c r="E8" s="9"/>
      <c r="F8" s="9"/>
      <c r="G8" s="336"/>
      <c r="H8" s="336"/>
      <c r="I8" s="336"/>
      <c r="J8" s="336"/>
    </row>
    <row r="9" spans="1:10" ht="18.75" hidden="1" customHeight="1">
      <c r="F9" s="118"/>
      <c r="G9" s="340" t="s">
        <v>123</v>
      </c>
      <c r="H9" s="340"/>
      <c r="I9" s="340"/>
      <c r="J9" s="340"/>
    </row>
    <row r="10" spans="1:10" hidden="1">
      <c r="A10" s="113"/>
      <c r="C10" s="116"/>
      <c r="D10" s="118"/>
      <c r="E10" s="118"/>
      <c r="F10" s="118"/>
      <c r="G10" s="323"/>
      <c r="H10" s="323"/>
      <c r="I10" s="323"/>
      <c r="J10" s="323"/>
    </row>
    <row r="11" spans="1:10" ht="18.75" hidden="1" customHeight="1">
      <c r="A11" s="329"/>
      <c r="B11" s="329"/>
      <c r="C11" s="20"/>
      <c r="D11" s="20"/>
      <c r="E11" s="20"/>
      <c r="F11" s="37"/>
      <c r="G11" s="38" t="s">
        <v>132</v>
      </c>
      <c r="H11" s="38"/>
      <c r="I11" s="38"/>
      <c r="J11" s="38"/>
    </row>
    <row r="12" spans="1:10" ht="20.25" hidden="1" customHeight="1">
      <c r="A12" s="335" t="s">
        <v>62</v>
      </c>
      <c r="B12" s="335"/>
      <c r="D12" s="120"/>
      <c r="E12" s="120"/>
      <c r="F12" s="81"/>
      <c r="G12" s="323"/>
      <c r="H12" s="323"/>
      <c r="I12" s="323"/>
      <c r="J12" s="323"/>
    </row>
    <row r="13" spans="1:10" ht="19.5" hidden="1" customHeight="1">
      <c r="A13" s="339"/>
      <c r="B13" s="339"/>
      <c r="F13" s="9"/>
      <c r="G13" s="38" t="s">
        <v>134</v>
      </c>
      <c r="H13" s="38"/>
      <c r="I13" s="38"/>
      <c r="J13" s="38"/>
    </row>
    <row r="14" spans="1:10" ht="19.5" hidden="1" customHeight="1">
      <c r="A14" s="113"/>
      <c r="F14" s="9"/>
      <c r="G14" s="323"/>
      <c r="H14" s="323"/>
      <c r="I14" s="323"/>
      <c r="J14" s="323"/>
    </row>
    <row r="15" spans="1:10" ht="19.5" hidden="1" customHeight="1">
      <c r="A15" s="335"/>
      <c r="B15" s="335"/>
      <c r="C15" s="116"/>
      <c r="D15" s="9"/>
      <c r="E15" s="9"/>
      <c r="F15" s="9"/>
      <c r="G15" s="338" t="s">
        <v>133</v>
      </c>
      <c r="H15" s="338"/>
      <c r="I15" s="338"/>
      <c r="J15" s="338"/>
    </row>
    <row r="16" spans="1:10" ht="16.5" hidden="1" customHeight="1">
      <c r="A16" s="331" t="s">
        <v>369</v>
      </c>
      <c r="B16" s="331"/>
      <c r="C16" s="116"/>
      <c r="D16" s="9"/>
      <c r="E16" s="9"/>
      <c r="F16" s="9"/>
      <c r="G16" s="114"/>
      <c r="H16" s="114"/>
      <c r="I16" s="114"/>
      <c r="J16" s="114"/>
    </row>
    <row r="17" spans="1:10" ht="16.5" hidden="1" customHeight="1">
      <c r="A17" s="113"/>
      <c r="C17" s="116"/>
      <c r="D17" s="9"/>
      <c r="E17" s="9"/>
      <c r="F17" s="9"/>
      <c r="G17" s="114"/>
      <c r="H17" s="114"/>
      <c r="I17" s="114"/>
      <c r="J17" s="114"/>
    </row>
    <row r="18" spans="1:10" ht="18.75" hidden="1" customHeight="1">
      <c r="A18" s="331"/>
      <c r="B18" s="331"/>
      <c r="D18" s="9"/>
      <c r="E18" s="9"/>
      <c r="F18" s="9"/>
      <c r="G18" s="331" t="s">
        <v>369</v>
      </c>
      <c r="H18" s="331"/>
      <c r="I18" s="331"/>
      <c r="J18" s="331"/>
    </row>
    <row r="19" spans="1:10" ht="15.75" hidden="1" customHeight="1">
      <c r="D19" s="9"/>
      <c r="E19" s="9"/>
      <c r="F19" s="9"/>
      <c r="I19" s="113"/>
      <c r="J19" s="113"/>
    </row>
    <row r="20" spans="1:10" ht="15.75" hidden="1" customHeight="1">
      <c r="A20" s="323"/>
      <c r="B20" s="333"/>
      <c r="F20" s="81"/>
      <c r="G20" s="113"/>
      <c r="H20" s="113"/>
      <c r="I20" s="113"/>
      <c r="J20" s="113"/>
    </row>
    <row r="21" spans="1:10" hidden="1">
      <c r="A21" s="334" t="s">
        <v>76</v>
      </c>
      <c r="B21" s="334"/>
      <c r="F21" s="81"/>
      <c r="G21" s="120" t="s">
        <v>124</v>
      </c>
    </row>
    <row r="22" spans="1:10" hidden="1">
      <c r="A22" s="11"/>
      <c r="B22" s="11"/>
      <c r="F22" s="81"/>
      <c r="G22" s="323"/>
      <c r="H22" s="323"/>
      <c r="I22" s="323"/>
      <c r="J22" s="323"/>
    </row>
    <row r="23" spans="1:10" ht="15.75" hidden="1" customHeight="1">
      <c r="A23" s="335"/>
      <c r="B23" s="335"/>
      <c r="F23" s="81"/>
      <c r="G23" s="38" t="s">
        <v>136</v>
      </c>
      <c r="H23" s="119"/>
      <c r="I23" s="119"/>
      <c r="J23" s="119"/>
    </row>
    <row r="24" spans="1:10" ht="15.75" hidden="1" customHeight="1">
      <c r="F24" s="81"/>
      <c r="G24" s="323"/>
      <c r="H24" s="323"/>
      <c r="I24" s="323"/>
      <c r="J24" s="323"/>
    </row>
    <row r="25" spans="1:10" hidden="1">
      <c r="A25" s="331" t="s">
        <v>369</v>
      </c>
      <c r="B25" s="331"/>
      <c r="C25" s="40"/>
      <c r="D25" s="12"/>
      <c r="E25" s="12"/>
      <c r="F25" s="81"/>
      <c r="G25" s="332" t="s">
        <v>135</v>
      </c>
      <c r="H25" s="332"/>
      <c r="I25" s="332"/>
      <c r="J25" s="332"/>
    </row>
    <row r="26" spans="1:10" ht="18" hidden="1" customHeight="1">
      <c r="B26" s="31"/>
      <c r="C26" s="40"/>
      <c r="D26" s="12"/>
      <c r="E26" s="12"/>
      <c r="F26" s="81"/>
      <c r="G26" s="27"/>
      <c r="H26" s="27"/>
      <c r="I26" s="27"/>
      <c r="J26" s="27"/>
    </row>
    <row r="27" spans="1:10" ht="21" hidden="1" customHeight="1">
      <c r="B27" s="120"/>
      <c r="C27" s="116"/>
      <c r="D27" s="27"/>
      <c r="E27" s="27"/>
      <c r="F27" s="27"/>
      <c r="G27" s="331" t="s">
        <v>369</v>
      </c>
      <c r="H27" s="331"/>
      <c r="I27" s="331"/>
      <c r="J27" s="331"/>
    </row>
    <row r="28" spans="1:10" ht="21" hidden="1" customHeight="1">
      <c r="B28" s="120"/>
      <c r="C28" s="116"/>
      <c r="D28" s="27"/>
      <c r="E28" s="27"/>
      <c r="F28" s="27"/>
    </row>
    <row r="29" spans="1:10" ht="21" hidden="1" customHeight="1">
      <c r="B29" s="120"/>
      <c r="C29" s="116"/>
      <c r="D29" s="27"/>
      <c r="E29" s="27"/>
      <c r="F29" s="27"/>
      <c r="H29" s="29"/>
      <c r="I29" s="29"/>
      <c r="J29" s="29"/>
    </row>
    <row r="30" spans="1:10" hidden="1">
      <c r="B30" s="116"/>
      <c r="C30" s="116"/>
      <c r="D30" s="116"/>
      <c r="E30" s="116"/>
      <c r="F30" s="116"/>
      <c r="G30" s="113"/>
      <c r="H30" s="113"/>
      <c r="I30" s="113"/>
      <c r="J30" s="113"/>
    </row>
    <row r="31" spans="1:10" ht="20.100000000000001" hidden="1" customHeight="1">
      <c r="A31" s="34"/>
      <c r="B31" s="324"/>
      <c r="C31" s="324"/>
      <c r="D31" s="324"/>
      <c r="E31" s="324"/>
      <c r="F31" s="324"/>
      <c r="G31" s="21"/>
      <c r="H31" s="35"/>
      <c r="I31" s="16" t="s">
        <v>131</v>
      </c>
      <c r="J31" s="126" t="s">
        <v>201</v>
      </c>
    </row>
    <row r="32" spans="1:10" ht="20.100000000000001" hidden="1" customHeight="1">
      <c r="A32" s="30" t="s">
        <v>14</v>
      </c>
      <c r="B32" s="324" t="s">
        <v>409</v>
      </c>
      <c r="C32" s="324"/>
      <c r="D32" s="324"/>
      <c r="E32" s="324"/>
      <c r="F32" s="324"/>
      <c r="G32" s="22"/>
      <c r="H32" s="41"/>
      <c r="I32" s="7" t="s">
        <v>127</v>
      </c>
      <c r="J32" s="126">
        <v>38017026</v>
      </c>
    </row>
    <row r="33" spans="1:10" ht="20.100000000000001" hidden="1" customHeight="1">
      <c r="A33" s="30" t="s">
        <v>15</v>
      </c>
      <c r="B33" s="324" t="s">
        <v>410</v>
      </c>
      <c r="C33" s="324"/>
      <c r="D33" s="324"/>
      <c r="E33" s="324"/>
      <c r="F33" s="324"/>
      <c r="G33" s="21"/>
      <c r="H33" s="35"/>
      <c r="I33" s="7" t="s">
        <v>126</v>
      </c>
      <c r="J33" s="126">
        <v>145</v>
      </c>
    </row>
    <row r="34" spans="1:10" ht="20.100000000000001" hidden="1" customHeight="1">
      <c r="A34" s="30" t="s">
        <v>22</v>
      </c>
      <c r="B34" s="325" t="s">
        <v>411</v>
      </c>
      <c r="C34" s="325"/>
      <c r="D34" s="325"/>
      <c r="E34" s="325"/>
      <c r="F34" s="325"/>
      <c r="G34" s="21"/>
      <c r="H34" s="35"/>
      <c r="I34" s="7" t="s">
        <v>125</v>
      </c>
      <c r="J34" s="126">
        <v>5110137500</v>
      </c>
    </row>
    <row r="35" spans="1:10" ht="20.100000000000001" hidden="1" customHeight="1">
      <c r="A35" s="30" t="s">
        <v>69</v>
      </c>
      <c r="B35" s="325" t="s">
        <v>412</v>
      </c>
      <c r="C35" s="325"/>
      <c r="D35" s="325"/>
      <c r="E35" s="325"/>
      <c r="F35" s="325"/>
      <c r="G35" s="22"/>
      <c r="H35" s="41"/>
      <c r="I35" s="7" t="s">
        <v>9</v>
      </c>
      <c r="J35" s="126"/>
    </row>
    <row r="36" spans="1:10" ht="20.100000000000001" hidden="1" customHeight="1">
      <c r="A36" s="30" t="s">
        <v>17</v>
      </c>
      <c r="B36" s="325" t="s">
        <v>415</v>
      </c>
      <c r="C36" s="325"/>
      <c r="D36" s="325"/>
      <c r="E36" s="325"/>
      <c r="F36" s="325"/>
      <c r="G36" s="325"/>
      <c r="H36" s="325"/>
      <c r="I36" s="7" t="s">
        <v>8</v>
      </c>
      <c r="J36" s="126"/>
    </row>
    <row r="37" spans="1:10" ht="20.100000000000001" hidden="1" customHeight="1">
      <c r="A37" s="30" t="s">
        <v>16</v>
      </c>
      <c r="B37" s="325" t="s">
        <v>438</v>
      </c>
      <c r="C37" s="325"/>
      <c r="D37" s="325"/>
      <c r="E37" s="325"/>
      <c r="F37" s="325"/>
      <c r="G37" s="325"/>
      <c r="H37" s="325"/>
      <c r="I37" s="43" t="s">
        <v>10</v>
      </c>
      <c r="J37" s="126" t="s">
        <v>441</v>
      </c>
    </row>
    <row r="38" spans="1:10" ht="20.100000000000001" hidden="1" customHeight="1">
      <c r="A38" s="30" t="s">
        <v>370</v>
      </c>
      <c r="B38" s="324"/>
      <c r="C38" s="324"/>
      <c r="D38" s="324"/>
      <c r="E38" s="324"/>
      <c r="F38" s="324"/>
      <c r="G38" s="324" t="s">
        <v>165</v>
      </c>
      <c r="H38" s="326"/>
      <c r="I38" s="327"/>
      <c r="J38" s="6"/>
    </row>
    <row r="39" spans="1:10" ht="20.100000000000001" hidden="1" customHeight="1">
      <c r="A39" s="30" t="s">
        <v>23</v>
      </c>
      <c r="B39" s="325" t="s">
        <v>413</v>
      </c>
      <c r="C39" s="325"/>
      <c r="D39" s="325"/>
      <c r="E39" s="325"/>
      <c r="F39" s="325"/>
      <c r="G39" s="324" t="s">
        <v>166</v>
      </c>
      <c r="H39" s="326"/>
      <c r="I39" s="327"/>
      <c r="J39" s="6"/>
    </row>
    <row r="40" spans="1:10" ht="20.100000000000001" hidden="1" customHeight="1">
      <c r="A40" s="30" t="s">
        <v>107</v>
      </c>
      <c r="B40" s="328">
        <v>221</v>
      </c>
      <c r="C40" s="328"/>
      <c r="D40" s="328"/>
      <c r="E40" s="328"/>
      <c r="F40" s="328"/>
      <c r="G40" s="22"/>
      <c r="H40" s="22"/>
      <c r="I40" s="22"/>
      <c r="J40" s="41"/>
    </row>
    <row r="41" spans="1:10" ht="20.100000000000001" hidden="1" customHeight="1">
      <c r="A41" s="30" t="s">
        <v>11</v>
      </c>
      <c r="B41" s="324" t="s">
        <v>439</v>
      </c>
      <c r="C41" s="324"/>
      <c r="D41" s="324"/>
      <c r="E41" s="324"/>
      <c r="F41" s="324"/>
      <c r="G41" s="21"/>
      <c r="H41" s="21"/>
      <c r="I41" s="21"/>
      <c r="J41" s="35"/>
    </row>
    <row r="42" spans="1:10" ht="20.100000000000001" hidden="1" customHeight="1">
      <c r="A42" s="30" t="s">
        <v>12</v>
      </c>
      <c r="B42" s="324" t="s">
        <v>440</v>
      </c>
      <c r="C42" s="324"/>
      <c r="D42" s="324"/>
      <c r="E42" s="324"/>
      <c r="F42" s="324"/>
      <c r="G42" s="22"/>
      <c r="H42" s="22"/>
      <c r="I42" s="22"/>
      <c r="J42" s="41"/>
    </row>
    <row r="43" spans="1:10" ht="20.100000000000001" hidden="1" customHeight="1">
      <c r="A43" s="30" t="s">
        <v>13</v>
      </c>
      <c r="B43" s="324" t="s">
        <v>414</v>
      </c>
      <c r="C43" s="324"/>
      <c r="D43" s="324"/>
      <c r="E43" s="324"/>
      <c r="F43" s="324"/>
      <c r="G43" s="21"/>
      <c r="H43" s="21"/>
      <c r="I43" s="21"/>
      <c r="J43" s="35"/>
    </row>
    <row r="44" spans="1:10">
      <c r="A44" s="343" t="s">
        <v>597</v>
      </c>
      <c r="B44" s="343"/>
      <c r="C44" s="343"/>
      <c r="D44" s="343"/>
      <c r="E44" s="343"/>
      <c r="F44" s="343"/>
      <c r="G44" s="343"/>
      <c r="H44" s="343"/>
      <c r="I44" s="343"/>
      <c r="J44" s="343"/>
    </row>
    <row r="45" spans="1:10" ht="9" customHeight="1">
      <c r="A45" s="71"/>
      <c r="B45" s="71"/>
      <c r="C45" s="71"/>
      <c r="D45" s="71"/>
      <c r="E45" s="71"/>
      <c r="F45" s="71"/>
      <c r="G45" s="71"/>
      <c r="H45" s="71"/>
      <c r="I45" s="71"/>
      <c r="J45" s="71"/>
    </row>
    <row r="46" spans="1:10">
      <c r="A46" s="343" t="s">
        <v>173</v>
      </c>
      <c r="B46" s="343"/>
      <c r="C46" s="343"/>
      <c r="D46" s="343"/>
      <c r="E46" s="343"/>
      <c r="F46" s="343"/>
      <c r="G46" s="343"/>
      <c r="H46" s="343"/>
      <c r="I46" s="343"/>
      <c r="J46" s="343"/>
    </row>
    <row r="47" spans="1:10" ht="54.75" hidden="1" customHeight="1">
      <c r="A47" s="11"/>
      <c r="B47" s="11"/>
      <c r="C47" s="11"/>
      <c r="D47" s="11"/>
      <c r="E47" s="11"/>
      <c r="F47" s="11"/>
      <c r="G47" s="11"/>
      <c r="H47" s="11"/>
      <c r="I47" s="11"/>
      <c r="J47" s="11"/>
    </row>
    <row r="48" spans="1:10" ht="8.25" customHeight="1">
      <c r="A48" s="11"/>
      <c r="B48" s="11"/>
      <c r="C48" s="120"/>
      <c r="D48" s="120"/>
      <c r="E48" s="120"/>
      <c r="F48" s="11"/>
      <c r="G48" s="11"/>
      <c r="H48" s="11"/>
      <c r="I48" s="11"/>
      <c r="J48" s="11"/>
    </row>
    <row r="49" spans="1:10" ht="31.5" customHeight="1">
      <c r="A49" s="351" t="s">
        <v>209</v>
      </c>
      <c r="B49" s="352" t="s">
        <v>18</v>
      </c>
      <c r="C49" s="341" t="s">
        <v>513</v>
      </c>
      <c r="D49" s="341" t="s">
        <v>596</v>
      </c>
      <c r="E49" s="345" t="s">
        <v>805</v>
      </c>
      <c r="F49" s="352" t="s">
        <v>599</v>
      </c>
      <c r="G49" s="354" t="s">
        <v>210</v>
      </c>
      <c r="H49" s="355"/>
      <c r="I49" s="355"/>
      <c r="J49" s="356"/>
    </row>
    <row r="50" spans="1:10" ht="54.75" customHeight="1">
      <c r="A50" s="351"/>
      <c r="B50" s="352"/>
      <c r="C50" s="342"/>
      <c r="D50" s="342"/>
      <c r="E50" s="346"/>
      <c r="F50" s="352"/>
      <c r="G50" s="129" t="s">
        <v>204</v>
      </c>
      <c r="H50" s="129" t="s">
        <v>205</v>
      </c>
      <c r="I50" s="129" t="s">
        <v>206</v>
      </c>
      <c r="J50" s="129" t="s">
        <v>250</v>
      </c>
    </row>
    <row r="51" spans="1:10" ht="20.100000000000001" customHeight="1">
      <c r="A51" s="126">
        <v>1</v>
      </c>
      <c r="B51" s="129">
        <v>2</v>
      </c>
      <c r="C51" s="129">
        <v>3</v>
      </c>
      <c r="D51" s="129">
        <v>4</v>
      </c>
      <c r="E51" s="129">
        <v>5</v>
      </c>
      <c r="F51" s="129">
        <v>6</v>
      </c>
      <c r="G51" s="129">
        <v>7</v>
      </c>
      <c r="H51" s="129">
        <v>8</v>
      </c>
      <c r="I51" s="129">
        <v>9</v>
      </c>
      <c r="J51" s="129">
        <v>10</v>
      </c>
    </row>
    <row r="52" spans="1:10" ht="24.95" customHeight="1">
      <c r="A52" s="353" t="s">
        <v>100</v>
      </c>
      <c r="B52" s="353"/>
      <c r="C52" s="353"/>
      <c r="D52" s="353"/>
      <c r="E52" s="353"/>
      <c r="F52" s="353"/>
      <c r="G52" s="353"/>
      <c r="H52" s="353"/>
      <c r="I52" s="353"/>
      <c r="J52" s="353"/>
    </row>
    <row r="53" spans="1:10" ht="20.100000000000001" customHeight="1">
      <c r="A53" s="139" t="s">
        <v>174</v>
      </c>
      <c r="B53" s="126">
        <v>1000</v>
      </c>
      <c r="C53" s="72">
        <f>'I. Фін результат'!C7</f>
        <v>762</v>
      </c>
      <c r="D53" s="72">
        <f>'I. Фін результат'!D7</f>
        <v>482</v>
      </c>
      <c r="E53" s="72">
        <f>'I. Фін результат'!E7</f>
        <v>640</v>
      </c>
      <c r="F53" s="72">
        <f>'I. Фін результат'!F7</f>
        <v>498</v>
      </c>
      <c r="G53" s="72">
        <v>505</v>
      </c>
      <c r="H53" s="72">
        <v>555</v>
      </c>
      <c r="I53" s="72">
        <v>611</v>
      </c>
      <c r="J53" s="72">
        <v>654</v>
      </c>
    </row>
    <row r="54" spans="1:10" ht="20.100000000000001" customHeight="1">
      <c r="A54" s="139" t="s">
        <v>153</v>
      </c>
      <c r="B54" s="126">
        <v>1010</v>
      </c>
      <c r="C54" s="72">
        <f>'I. Фін результат'!C8</f>
        <v>-136230</v>
      </c>
      <c r="D54" s="72">
        <f>'I. Фін результат'!D8</f>
        <v>-148930</v>
      </c>
      <c r="E54" s="72">
        <f>'I. Фін результат'!E8</f>
        <v>-119299</v>
      </c>
      <c r="F54" s="72">
        <f>'I. Фін результат'!F8</f>
        <v>-149771</v>
      </c>
      <c r="G54" s="72">
        <v>-180574</v>
      </c>
      <c r="H54" s="72">
        <v>-189431</v>
      </c>
      <c r="I54" s="72">
        <v>-195034</v>
      </c>
      <c r="J54" s="72">
        <v>-208687</v>
      </c>
    </row>
    <row r="55" spans="1:10" ht="20.100000000000001" customHeight="1">
      <c r="A55" s="140" t="s">
        <v>222</v>
      </c>
      <c r="B55" s="126">
        <v>1020</v>
      </c>
      <c r="C55" s="79">
        <f>SUM(C53:C54)</f>
        <v>-135468</v>
      </c>
      <c r="D55" s="79">
        <f t="shared" ref="D55:F55" si="0">SUM(D53:D54)</f>
        <v>-148448</v>
      </c>
      <c r="E55" s="79">
        <f t="shared" si="0"/>
        <v>-118659</v>
      </c>
      <c r="F55" s="79">
        <f t="shared" si="0"/>
        <v>-149273</v>
      </c>
      <c r="G55" s="79">
        <f t="shared" ref="G55:J55" si="1">SUM(G53:G54)</f>
        <v>-180069</v>
      </c>
      <c r="H55" s="79">
        <f t="shared" si="1"/>
        <v>-188876</v>
      </c>
      <c r="I55" s="79">
        <f t="shared" si="1"/>
        <v>-194423</v>
      </c>
      <c r="J55" s="79">
        <f t="shared" si="1"/>
        <v>-208033</v>
      </c>
    </row>
    <row r="56" spans="1:10" ht="20.100000000000001" customHeight="1">
      <c r="A56" s="139" t="s">
        <v>138</v>
      </c>
      <c r="B56" s="126">
        <v>1030</v>
      </c>
      <c r="C56" s="72">
        <f>'I. Фін результат'!C35</f>
        <v>-38527.999999999993</v>
      </c>
      <c r="D56" s="72">
        <f>'I. Фін результат'!D35</f>
        <v>-41903</v>
      </c>
      <c r="E56" s="72">
        <f>'I. Фін результат'!E35</f>
        <v>-40424</v>
      </c>
      <c r="F56" s="72">
        <f>'I. Фін результат'!F35</f>
        <v>-49090</v>
      </c>
      <c r="G56" s="72">
        <v>-49785</v>
      </c>
      <c r="H56" s="72">
        <v>-52552</v>
      </c>
      <c r="I56" s="72">
        <v>-54216</v>
      </c>
      <c r="J56" s="72">
        <v>-58011</v>
      </c>
    </row>
    <row r="57" spans="1:10" ht="20.100000000000001" customHeight="1">
      <c r="A57" s="139" t="s">
        <v>137</v>
      </c>
      <c r="B57" s="126">
        <v>1060</v>
      </c>
      <c r="C57" s="72">
        <f>'I. Фін результат'!C72</f>
        <v>0</v>
      </c>
      <c r="D57" s="72">
        <f>'I. Фін результат'!D72</f>
        <v>0</v>
      </c>
      <c r="E57" s="72">
        <f>'I. Фін результат'!E72</f>
        <v>0</v>
      </c>
      <c r="F57" s="72">
        <f>'I. Фін результат'!F72</f>
        <v>0</v>
      </c>
      <c r="G57" s="72"/>
      <c r="H57" s="72"/>
      <c r="I57" s="72"/>
      <c r="J57" s="72">
        <f t="shared" ref="J57" si="2">I57*1.07</f>
        <v>0</v>
      </c>
    </row>
    <row r="58" spans="1:10" ht="20.100000000000001" customHeight="1">
      <c r="A58" s="139" t="s">
        <v>252</v>
      </c>
      <c r="B58" s="126">
        <v>1070</v>
      </c>
      <c r="C58" s="72">
        <f>'I. Фін результат'!C80</f>
        <v>194801</v>
      </c>
      <c r="D58" s="72">
        <f>'I. Фін результат'!D80</f>
        <v>195630</v>
      </c>
      <c r="E58" s="72">
        <f>'I. Фін результат'!E80</f>
        <v>167424</v>
      </c>
      <c r="F58" s="72">
        <f>'I. Фін результат'!F80</f>
        <v>206668</v>
      </c>
      <c r="G58" s="72">
        <v>228621</v>
      </c>
      <c r="H58" s="72">
        <v>242338</v>
      </c>
      <c r="I58" s="72">
        <v>250349</v>
      </c>
      <c r="J58" s="72">
        <v>267643</v>
      </c>
    </row>
    <row r="59" spans="1:10" ht="20.100000000000001" customHeight="1">
      <c r="A59" s="139" t="s">
        <v>31</v>
      </c>
      <c r="B59" s="126">
        <v>1080</v>
      </c>
      <c r="C59" s="72">
        <f>'I. Фін результат'!C89</f>
        <v>-13299.999999999998</v>
      </c>
      <c r="D59" s="72">
        <f>'I. Фін результат'!D89</f>
        <v>-17595</v>
      </c>
      <c r="E59" s="72">
        <f>'I. Фін результат'!E89</f>
        <v>-14453</v>
      </c>
      <c r="F59" s="72">
        <f>'I. Фін результат'!F89</f>
        <v>-17767</v>
      </c>
      <c r="G59" s="72">
        <v>-16003</v>
      </c>
      <c r="H59" s="72">
        <v>-16964</v>
      </c>
      <c r="I59" s="72">
        <v>-17524</v>
      </c>
      <c r="J59" s="72">
        <v>-18750</v>
      </c>
    </row>
    <row r="60" spans="1:10" ht="20.100000000000001" customHeight="1">
      <c r="A60" s="141" t="s">
        <v>4</v>
      </c>
      <c r="B60" s="126">
        <v>1100</v>
      </c>
      <c r="C60" s="79">
        <f>SUM(C55:C59)</f>
        <v>7505.0000000000018</v>
      </c>
      <c r="D60" s="79">
        <f t="shared" ref="D60:F60" si="3">SUM(D55:D59)</f>
        <v>-12316</v>
      </c>
      <c r="E60" s="79">
        <f t="shared" si="3"/>
        <v>-6112</v>
      </c>
      <c r="F60" s="79">
        <f t="shared" si="3"/>
        <v>-9462</v>
      </c>
      <c r="G60" s="79">
        <f t="shared" ref="G60:J60" si="4">SUM(G55:G59)</f>
        <v>-17236</v>
      </c>
      <c r="H60" s="79">
        <f t="shared" si="4"/>
        <v>-16054</v>
      </c>
      <c r="I60" s="79">
        <f t="shared" si="4"/>
        <v>-15814</v>
      </c>
      <c r="J60" s="79">
        <f t="shared" si="4"/>
        <v>-17151</v>
      </c>
    </row>
    <row r="61" spans="1:10" ht="20.100000000000001" customHeight="1">
      <c r="A61" s="142" t="s">
        <v>139</v>
      </c>
      <c r="B61" s="126">
        <v>1310</v>
      </c>
      <c r="C61" s="79">
        <f>'I. Фін результат'!C138</f>
        <v>17290.100000000002</v>
      </c>
      <c r="D61" s="79">
        <f>'I. Фін результат'!D138</f>
        <v>3268</v>
      </c>
      <c r="E61" s="79">
        <f>'I. Фін результат'!E138</f>
        <v>9063</v>
      </c>
      <c r="F61" s="79">
        <f>'I. Фін результат'!F138</f>
        <v>8091</v>
      </c>
      <c r="G61" s="79">
        <v>522</v>
      </c>
      <c r="H61" s="79">
        <v>575</v>
      </c>
      <c r="I61" s="79">
        <v>631</v>
      </c>
      <c r="J61" s="79">
        <v>675</v>
      </c>
    </row>
    <row r="62" spans="1:10" ht="20.100000000000001" customHeight="1">
      <c r="A62" s="142" t="s">
        <v>191</v>
      </c>
      <c r="B62" s="126">
        <f>' V. Коефіцієнти'!B8</f>
        <v>5010</v>
      </c>
      <c r="C62" s="79">
        <f>(C61/C53)*100</f>
        <v>2269.0419947506566</v>
      </c>
      <c r="D62" s="79">
        <f t="shared" ref="D62:F62" si="5">(D61/D53)*100</f>
        <v>678.00829875518673</v>
      </c>
      <c r="E62" s="79">
        <f t="shared" si="5"/>
        <v>1416.09375</v>
      </c>
      <c r="F62" s="79">
        <f t="shared" si="5"/>
        <v>1624.6987951807228</v>
      </c>
      <c r="G62" s="79">
        <f t="shared" ref="G62" si="6">(G61/G53)*100</f>
        <v>103.36633663366337</v>
      </c>
      <c r="H62" s="79">
        <f>(H61/H53)*100</f>
        <v>103.60360360360362</v>
      </c>
      <c r="I62" s="79">
        <f t="shared" ref="I62:J62" si="7">(I61/I53)*100</f>
        <v>103.2733224222586</v>
      </c>
      <c r="J62" s="79">
        <f t="shared" si="7"/>
        <v>103.21100917431193</v>
      </c>
    </row>
    <row r="63" spans="1:10" ht="20.100000000000001" customHeight="1">
      <c r="A63" s="143" t="s">
        <v>253</v>
      </c>
      <c r="B63" s="144">
        <v>1110</v>
      </c>
      <c r="C63" s="73">
        <f>'I. Фін результат'!C107</f>
        <v>0</v>
      </c>
      <c r="D63" s="73">
        <f>'I. Фін результат'!D107</f>
        <v>0</v>
      </c>
      <c r="E63" s="73">
        <f>'I. Фін результат'!E107</f>
        <v>0</v>
      </c>
      <c r="F63" s="73">
        <f>'I. Фін результат'!F107</f>
        <v>0</v>
      </c>
      <c r="G63" s="73"/>
      <c r="H63" s="73"/>
      <c r="I63" s="73"/>
      <c r="J63" s="73"/>
    </row>
    <row r="64" spans="1:10" ht="20.100000000000001" customHeight="1">
      <c r="A64" s="143" t="s">
        <v>254</v>
      </c>
      <c r="B64" s="144">
        <v>1120</v>
      </c>
      <c r="C64" s="73" t="str">
        <f>'I. Фін результат'!C108</f>
        <v>(    )</v>
      </c>
      <c r="D64" s="73" t="str">
        <f>'I. Фін результат'!D108</f>
        <v>(    )</v>
      </c>
      <c r="E64" s="73" t="str">
        <f>'I. Фін результат'!E108</f>
        <v>(    )</v>
      </c>
      <c r="F64" s="73">
        <f>'I. Фін результат'!F108</f>
        <v>0</v>
      </c>
      <c r="G64" s="73"/>
      <c r="H64" s="73"/>
      <c r="I64" s="73"/>
      <c r="J64" s="73"/>
    </row>
    <row r="65" spans="1:12" ht="20.100000000000001" customHeight="1">
      <c r="A65" s="143" t="s">
        <v>255</v>
      </c>
      <c r="B65" s="144">
        <v>1130</v>
      </c>
      <c r="C65" s="73">
        <f>'I. Фін результат'!C109</f>
        <v>0</v>
      </c>
      <c r="D65" s="73">
        <f>'I. Фін результат'!D109</f>
        <v>0</v>
      </c>
      <c r="E65" s="73">
        <f>'I. Фін результат'!E109</f>
        <v>0</v>
      </c>
      <c r="F65" s="73">
        <f>'I. Фін результат'!F109</f>
        <v>0</v>
      </c>
      <c r="G65" s="73"/>
      <c r="H65" s="73"/>
      <c r="I65" s="73"/>
      <c r="J65" s="73"/>
    </row>
    <row r="66" spans="1:12" ht="20.100000000000001" customHeight="1">
      <c r="A66" s="143" t="s">
        <v>256</v>
      </c>
      <c r="B66" s="144">
        <v>1140</v>
      </c>
      <c r="C66" s="73" t="str">
        <f>'I. Фін результат'!C110</f>
        <v>(    )</v>
      </c>
      <c r="D66" s="73" t="str">
        <f>'I. Фін результат'!D110</f>
        <v>(    )</v>
      </c>
      <c r="E66" s="73" t="str">
        <f>'I. Фін результат'!E110</f>
        <v>(    )</v>
      </c>
      <c r="F66" s="73">
        <f>'I. Фін результат'!F110</f>
        <v>0</v>
      </c>
      <c r="G66" s="73"/>
      <c r="H66" s="73"/>
      <c r="I66" s="73"/>
      <c r="J66" s="73"/>
    </row>
    <row r="67" spans="1:12" ht="20.100000000000001" customHeight="1">
      <c r="A67" s="143" t="s">
        <v>258</v>
      </c>
      <c r="B67" s="144">
        <v>1150</v>
      </c>
      <c r="C67" s="72">
        <f>'I. Фін результат'!C111</f>
        <v>9361</v>
      </c>
      <c r="D67" s="72">
        <f>'I. Фін результат'!D111</f>
        <v>15610</v>
      </c>
      <c r="E67" s="72">
        <f>'I. Фін результат'!E111</f>
        <v>15129</v>
      </c>
      <c r="F67" s="72">
        <f>'I. Фін результат'!F111</f>
        <v>17602</v>
      </c>
      <c r="G67" s="72">
        <v>17741</v>
      </c>
      <c r="H67" s="72">
        <v>16608</v>
      </c>
      <c r="I67" s="72">
        <v>16425</v>
      </c>
      <c r="J67" s="72">
        <v>17414</v>
      </c>
    </row>
    <row r="68" spans="1:12" ht="20.100000000000001" customHeight="1">
      <c r="A68" s="139" t="s">
        <v>259</v>
      </c>
      <c r="B68" s="126">
        <v>1160</v>
      </c>
      <c r="C68" s="72">
        <f>'I. Фін результат'!C117</f>
        <v>0</v>
      </c>
      <c r="D68" s="72">
        <f>'I. Фін результат'!D117</f>
        <v>0</v>
      </c>
      <c r="E68" s="72">
        <f>'I. Фін результат'!E117</f>
        <v>0</v>
      </c>
      <c r="F68" s="72">
        <f>'I. Фін результат'!F117</f>
        <v>0</v>
      </c>
      <c r="G68" s="72"/>
      <c r="H68" s="72"/>
      <c r="I68" s="72"/>
      <c r="J68" s="72"/>
    </row>
    <row r="69" spans="1:12" ht="20.100000000000001" customHeight="1">
      <c r="A69" s="142" t="s">
        <v>99</v>
      </c>
      <c r="B69" s="126">
        <v>1170</v>
      </c>
      <c r="C69" s="79">
        <f>SUM(C60, C63:C68)</f>
        <v>16866</v>
      </c>
      <c r="D69" s="79">
        <f t="shared" ref="D69:E69" si="8">SUM(D60, D63:D68)</f>
        <v>3294</v>
      </c>
      <c r="E69" s="79">
        <f t="shared" si="8"/>
        <v>9017</v>
      </c>
      <c r="F69" s="79">
        <f>SUM(F60, F63:F68)</f>
        <v>8140</v>
      </c>
      <c r="G69" s="79">
        <f t="shared" ref="G69:H69" si="9">SUM(G60, G63:G68)</f>
        <v>505</v>
      </c>
      <c r="H69" s="79">
        <f t="shared" si="9"/>
        <v>554</v>
      </c>
      <c r="I69" s="79">
        <f>SUM(I60, I63:I68)</f>
        <v>611</v>
      </c>
      <c r="J69" s="79">
        <f>SUM(J60, J63:J68)</f>
        <v>263</v>
      </c>
    </row>
    <row r="70" spans="1:12" ht="20.100000000000001" customHeight="1">
      <c r="A70" s="143" t="s">
        <v>260</v>
      </c>
      <c r="B70" s="129">
        <v>1180</v>
      </c>
      <c r="C70" s="72">
        <f>'I. Фін результат'!C121</f>
        <v>-3326</v>
      </c>
      <c r="D70" s="72">
        <f>'I. Фін результат'!D121</f>
        <v>-594</v>
      </c>
      <c r="E70" s="72">
        <f>'I. Фін результат'!E121</f>
        <v>-2535</v>
      </c>
      <c r="F70" s="72">
        <f>'I. Фін результат'!F121</f>
        <v>-1465</v>
      </c>
      <c r="G70" s="72">
        <f>-ROUND((G69*0.18),0)</f>
        <v>-91</v>
      </c>
      <c r="H70" s="72">
        <f t="shared" ref="H70:J70" si="10">-ROUND((H69*0.18),0)</f>
        <v>-100</v>
      </c>
      <c r="I70" s="72">
        <f t="shared" si="10"/>
        <v>-110</v>
      </c>
      <c r="J70" s="72">
        <f t="shared" si="10"/>
        <v>-47</v>
      </c>
    </row>
    <row r="71" spans="1:12" ht="20.100000000000001" customHeight="1">
      <c r="A71" s="143" t="s">
        <v>261</v>
      </c>
      <c r="B71" s="129">
        <v>1181</v>
      </c>
      <c r="C71" s="72">
        <f>'I. Фін результат'!C122</f>
        <v>0</v>
      </c>
      <c r="D71" s="72">
        <f>'I. Фін результат'!D122</f>
        <v>0</v>
      </c>
      <c r="E71" s="72">
        <f>'I. Фін результат'!E122</f>
        <v>0</v>
      </c>
      <c r="F71" s="72">
        <f>'I. Фін результат'!F122</f>
        <v>0</v>
      </c>
      <c r="G71" s="72"/>
      <c r="H71" s="72"/>
      <c r="I71" s="72"/>
      <c r="J71" s="72"/>
    </row>
    <row r="72" spans="1:12" ht="20.100000000000001" customHeight="1">
      <c r="A72" s="143" t="s">
        <v>262</v>
      </c>
      <c r="B72" s="144">
        <v>1190</v>
      </c>
      <c r="C72" s="72">
        <f>'I. Фін результат'!C123</f>
        <v>0</v>
      </c>
      <c r="D72" s="72">
        <f>'I. Фін результат'!D123</f>
        <v>0</v>
      </c>
      <c r="E72" s="72">
        <f>'I. Фін результат'!E123</f>
        <v>0</v>
      </c>
      <c r="F72" s="72">
        <f>'I. Фін результат'!F123</f>
        <v>0</v>
      </c>
      <c r="G72" s="72"/>
      <c r="H72" s="72"/>
      <c r="I72" s="72"/>
      <c r="J72" s="72"/>
    </row>
    <row r="73" spans="1:12" ht="20.100000000000001" customHeight="1">
      <c r="A73" s="143" t="s">
        <v>263</v>
      </c>
      <c r="B73" s="126">
        <v>1191</v>
      </c>
      <c r="C73" s="72" t="str">
        <f>'I. Фін результат'!C124</f>
        <v>(    )</v>
      </c>
      <c r="D73" s="72" t="str">
        <f>'I. Фін результат'!D124</f>
        <v>(    )</v>
      </c>
      <c r="E73" s="72" t="str">
        <f>'I. Фін результат'!E124</f>
        <v>(    )</v>
      </c>
      <c r="F73" s="72">
        <f>'I. Фін результат'!F124</f>
        <v>0</v>
      </c>
      <c r="G73" s="72"/>
      <c r="H73" s="72"/>
      <c r="I73" s="72"/>
      <c r="J73" s="72"/>
    </row>
    <row r="74" spans="1:12" ht="20.100000000000001" customHeight="1">
      <c r="A74" s="141" t="s">
        <v>367</v>
      </c>
      <c r="B74" s="126">
        <v>1200</v>
      </c>
      <c r="C74" s="79">
        <f>SUM(C69:C73)</f>
        <v>13540</v>
      </c>
      <c r="D74" s="79">
        <f t="shared" ref="D74:J74" si="11">SUM(D69:D73)</f>
        <v>2700</v>
      </c>
      <c r="E74" s="79">
        <f t="shared" si="11"/>
        <v>6482</v>
      </c>
      <c r="F74" s="79">
        <f t="shared" si="11"/>
        <v>6675</v>
      </c>
      <c r="G74" s="79">
        <f t="shared" ref="G74:I74" si="12">SUM(G69:G73)</f>
        <v>414</v>
      </c>
      <c r="H74" s="79">
        <f t="shared" si="12"/>
        <v>454</v>
      </c>
      <c r="I74" s="79">
        <f t="shared" si="12"/>
        <v>501</v>
      </c>
      <c r="J74" s="79">
        <f t="shared" si="11"/>
        <v>216</v>
      </c>
    </row>
    <row r="75" spans="1:12" ht="20.100000000000001" customHeight="1">
      <c r="A75" s="143" t="s">
        <v>371</v>
      </c>
      <c r="B75" s="144">
        <v>1201</v>
      </c>
      <c r="C75" s="72">
        <f>'I. Фін результат'!C126</f>
        <v>13540</v>
      </c>
      <c r="D75" s="72">
        <f>'I. Фін результат'!D126</f>
        <v>2700</v>
      </c>
      <c r="E75" s="72">
        <f>'I. Фін результат'!E126</f>
        <v>6482</v>
      </c>
      <c r="F75" s="72">
        <f>'I. Фін результат'!F126</f>
        <v>6675</v>
      </c>
      <c r="G75" s="72">
        <f>G74</f>
        <v>414</v>
      </c>
      <c r="H75" s="72">
        <f>H74</f>
        <v>454</v>
      </c>
      <c r="I75" s="72">
        <f>I74</f>
        <v>501</v>
      </c>
      <c r="J75" s="72">
        <f>J74</f>
        <v>216</v>
      </c>
    </row>
    <row r="76" spans="1:12" ht="20.100000000000001" customHeight="1">
      <c r="A76" s="143" t="s">
        <v>372</v>
      </c>
      <c r="B76" s="126">
        <v>1202</v>
      </c>
      <c r="C76" s="73">
        <f>'I. Фін результат'!C127</f>
        <v>0</v>
      </c>
      <c r="D76" s="73">
        <f>'I. Фін результат'!D127</f>
        <v>0</v>
      </c>
      <c r="E76" s="73">
        <f>'I. Фін результат'!E127</f>
        <v>0</v>
      </c>
      <c r="F76" s="73">
        <f>'I. Фін результат'!F127</f>
        <v>0</v>
      </c>
      <c r="G76" s="73"/>
      <c r="H76" s="73"/>
      <c r="I76" s="73"/>
      <c r="J76" s="73"/>
    </row>
    <row r="77" spans="1:12" ht="24.95" customHeight="1">
      <c r="A77" s="344" t="s">
        <v>143</v>
      </c>
      <c r="B77" s="344"/>
      <c r="C77" s="344"/>
      <c r="D77" s="344"/>
      <c r="E77" s="344"/>
      <c r="F77" s="344"/>
      <c r="G77" s="344"/>
      <c r="H77" s="344"/>
      <c r="I77" s="344"/>
      <c r="J77" s="344"/>
    </row>
    <row r="78" spans="1:12" ht="37.5">
      <c r="A78" s="145" t="s">
        <v>349</v>
      </c>
      <c r="B78" s="126">
        <v>2110</v>
      </c>
      <c r="C78" s="79">
        <f>'ІІ. Розр. з бюджетом'!C25</f>
        <v>99689.8</v>
      </c>
      <c r="D78" s="79">
        <f>'ІІ. Розр. з бюджетом'!D25</f>
        <v>7966</v>
      </c>
      <c r="E78" s="79">
        <f>'ІІ. Розр. з бюджетом'!E25</f>
        <v>7812</v>
      </c>
      <c r="F78" s="79">
        <f>'ІІ. Розр. з бюджетом'!F25</f>
        <v>7083</v>
      </c>
      <c r="G78" s="72">
        <f>SUM(G79:G83)</f>
        <v>481</v>
      </c>
      <c r="H78" s="72">
        <f>SUM(H79:H83)</f>
        <v>521</v>
      </c>
      <c r="I78" s="72">
        <f>SUM(I79:I83)</f>
        <v>567</v>
      </c>
      <c r="J78" s="72">
        <f>SUM(J79:J83)</f>
        <v>590</v>
      </c>
      <c r="L78" s="70"/>
    </row>
    <row r="79" spans="1:12">
      <c r="A79" s="143" t="s">
        <v>310</v>
      </c>
      <c r="B79" s="126">
        <v>2111</v>
      </c>
      <c r="C79" s="72">
        <f>'ІІ. Розр. з бюджетом'!C26</f>
        <v>23609</v>
      </c>
      <c r="D79" s="72">
        <f>'ІІ. Розр. з бюджетом'!D26</f>
        <v>3231</v>
      </c>
      <c r="E79" s="72">
        <f>'ІІ. Розр. з бюджетом'!E26</f>
        <v>1183</v>
      </c>
      <c r="F79" s="72">
        <f>'ІІ. Розр. з бюджетом'!F26</f>
        <v>1351</v>
      </c>
      <c r="G79" s="72">
        <v>83</v>
      </c>
      <c r="H79" s="72">
        <v>91</v>
      </c>
      <c r="I79" s="72">
        <v>100</v>
      </c>
      <c r="J79" s="72">
        <v>110</v>
      </c>
    </row>
    <row r="80" spans="1:12" ht="37.5">
      <c r="A80" s="143" t="s">
        <v>373</v>
      </c>
      <c r="B80" s="126">
        <v>2112</v>
      </c>
      <c r="C80" s="72">
        <f>'ІІ. Розр. з бюджетом'!C27</f>
        <v>165</v>
      </c>
      <c r="D80" s="72">
        <f>'ІІ. Розр. з бюджетом'!D27</f>
        <v>130</v>
      </c>
      <c r="E80" s="72">
        <f>'ІІ. Розр. з бюджетом'!E27</f>
        <v>167</v>
      </c>
      <c r="F80" s="72">
        <f>'ІІ. Розр. з бюджетом'!F27</f>
        <v>15</v>
      </c>
      <c r="G80" s="72">
        <v>116</v>
      </c>
      <c r="H80" s="72">
        <v>120</v>
      </c>
      <c r="I80" s="72">
        <v>125</v>
      </c>
      <c r="J80" s="72">
        <v>130</v>
      </c>
    </row>
    <row r="81" spans="1:10" ht="37.5">
      <c r="A81" s="146" t="s">
        <v>374</v>
      </c>
      <c r="B81" s="129">
        <v>2113</v>
      </c>
      <c r="C81" s="72">
        <f>'ІІ. Розр. з бюджетом'!C28</f>
        <v>0</v>
      </c>
      <c r="D81" s="72">
        <f>'ІІ. Розр. з бюджетом'!D28</f>
        <v>0</v>
      </c>
      <c r="E81" s="72">
        <f>'ІІ. Розр. з бюджетом'!E28</f>
        <v>0</v>
      </c>
      <c r="F81" s="72">
        <f>'ІІ. Розр. з бюджетом'!F28</f>
        <v>-292</v>
      </c>
      <c r="G81" s="72"/>
      <c r="H81" s="72"/>
      <c r="I81" s="72"/>
      <c r="J81" s="72"/>
    </row>
    <row r="82" spans="1:10">
      <c r="A82" s="146" t="s">
        <v>87</v>
      </c>
      <c r="B82" s="147">
        <v>2114</v>
      </c>
      <c r="C82" s="72">
        <f>'ІІ. Розр. з бюджетом'!C29</f>
        <v>0</v>
      </c>
      <c r="D82" s="72">
        <f>'ІІ. Розр. з бюджетом'!D29</f>
        <v>0</v>
      </c>
      <c r="E82" s="72">
        <f>'ІІ. Розр. з бюджетом'!E29</f>
        <v>0</v>
      </c>
      <c r="F82" s="72">
        <f>'ІІ. Розр. з бюджетом'!F29</f>
        <v>0</v>
      </c>
      <c r="G82" s="72"/>
      <c r="H82" s="72"/>
      <c r="I82" s="72"/>
      <c r="J82" s="72"/>
    </row>
    <row r="83" spans="1:10" ht="37.5">
      <c r="A83" s="146" t="s">
        <v>353</v>
      </c>
      <c r="B83" s="147">
        <v>2115</v>
      </c>
      <c r="C83" s="72">
        <f>'ІІ. Розр. з бюджетом'!C30</f>
        <v>74261.2</v>
      </c>
      <c r="D83" s="72">
        <f>'ІІ. Розр. з бюджетом'!D30</f>
        <v>2395</v>
      </c>
      <c r="E83" s="72">
        <f>'ІІ. Розр. з бюджетом'!E30</f>
        <v>4629</v>
      </c>
      <c r="F83" s="72">
        <f>'ІІ. Розр. з бюджетом'!F30</f>
        <v>4066</v>
      </c>
      <c r="G83" s="72">
        <v>282</v>
      </c>
      <c r="H83" s="72">
        <v>310</v>
      </c>
      <c r="I83" s="72">
        <v>342</v>
      </c>
      <c r="J83" s="72">
        <v>350</v>
      </c>
    </row>
    <row r="84" spans="1:10">
      <c r="A84" s="148" t="s">
        <v>105</v>
      </c>
      <c r="B84" s="129">
        <v>2116</v>
      </c>
      <c r="C84" s="72">
        <f>'ІІ. Розр. з бюджетом'!C31</f>
        <v>0</v>
      </c>
      <c r="D84" s="72">
        <f>'ІІ. Розр. з бюджетом'!D31</f>
        <v>0</v>
      </c>
      <c r="E84" s="72">
        <f>'ІІ. Розр. з бюджетом'!E31</f>
        <v>0</v>
      </c>
      <c r="F84" s="72">
        <f>'ІІ. Розр. з бюджетом'!F31</f>
        <v>0</v>
      </c>
      <c r="G84" s="72"/>
      <c r="H84" s="72"/>
      <c r="I84" s="72"/>
      <c r="J84" s="72"/>
    </row>
    <row r="85" spans="1:10">
      <c r="A85" s="148" t="s">
        <v>375</v>
      </c>
      <c r="B85" s="129">
        <v>2117</v>
      </c>
      <c r="C85" s="72">
        <f>'ІІ. Розр. з бюджетом'!C32</f>
        <v>0</v>
      </c>
      <c r="D85" s="72">
        <f>'ІІ. Розр. з бюджетом'!D32</f>
        <v>0</v>
      </c>
      <c r="E85" s="72">
        <f>'ІІ. Розр. з бюджетом'!E32</f>
        <v>0</v>
      </c>
      <c r="F85" s="72">
        <f>'ІІ. Розр. з бюджетом'!F32</f>
        <v>0</v>
      </c>
      <c r="G85" s="72"/>
      <c r="H85" s="72"/>
      <c r="I85" s="72"/>
      <c r="J85" s="72"/>
    </row>
    <row r="86" spans="1:10" ht="37.5">
      <c r="A86" s="149" t="s">
        <v>350</v>
      </c>
      <c r="B86" s="129">
        <v>2120</v>
      </c>
      <c r="C86" s="79">
        <f>'ІІ. Розр. з бюджетом'!C37</f>
        <v>15634.199999999999</v>
      </c>
      <c r="D86" s="79">
        <f>'ІІ. Розр. з бюджетом'!D37</f>
        <v>18486</v>
      </c>
      <c r="E86" s="79">
        <f>'ІІ. Розр. з бюджетом'!E37</f>
        <v>15932</v>
      </c>
      <c r="F86" s="79">
        <f>'ІІ. Розр. з бюджетом'!F37</f>
        <v>19729</v>
      </c>
      <c r="G86" s="72">
        <v>27332</v>
      </c>
      <c r="H86" s="72">
        <v>30065</v>
      </c>
      <c r="I86" s="72">
        <v>28815</v>
      </c>
      <c r="J86" s="72">
        <v>30255</v>
      </c>
    </row>
    <row r="87" spans="1:10" ht="37.5">
      <c r="A87" s="149" t="s">
        <v>354</v>
      </c>
      <c r="B87" s="129">
        <v>2130</v>
      </c>
      <c r="C87" s="79">
        <f>'ІІ. Розр. з бюджетом'!C42</f>
        <v>17384</v>
      </c>
      <c r="D87" s="79">
        <f>'ІІ. Розр. з бюджетом'!D42</f>
        <v>21947</v>
      </c>
      <c r="E87" s="79">
        <f>'ІІ. Розр. з бюджетом'!E42</f>
        <v>18166</v>
      </c>
      <c r="F87" s="79">
        <f>'ІІ. Розр. з бюджетом'!F42</f>
        <v>23354</v>
      </c>
      <c r="G87" s="79">
        <f>SUM(G88:G89)</f>
        <v>20706</v>
      </c>
      <c r="H87" s="79">
        <f>SUM(H88:H89)</f>
        <v>21741</v>
      </c>
      <c r="I87" s="79">
        <f>SUM(I88:I89)</f>
        <v>22828</v>
      </c>
      <c r="J87" s="79">
        <f>SUM(J88:J89)</f>
        <v>23969</v>
      </c>
    </row>
    <row r="88" spans="1:10" ht="75">
      <c r="A88" s="148" t="s">
        <v>376</v>
      </c>
      <c r="B88" s="129">
        <v>2131</v>
      </c>
      <c r="C88" s="72">
        <f>'ІІ. Розр. з бюджетом'!C43</f>
        <v>0</v>
      </c>
      <c r="D88" s="72">
        <f>'ІІ. Розр. з бюджетом'!D43</f>
        <v>0</v>
      </c>
      <c r="E88" s="72">
        <f>'ІІ. Розр. з бюджетом'!E43</f>
        <v>0</v>
      </c>
      <c r="F88" s="72">
        <f>'ІІ. Розр. з бюджетом'!F43</f>
        <v>0</v>
      </c>
      <c r="G88" s="72"/>
      <c r="H88" s="72"/>
      <c r="I88" s="72"/>
      <c r="J88" s="72"/>
    </row>
    <row r="89" spans="1:10" ht="37.5">
      <c r="A89" s="148" t="s">
        <v>355</v>
      </c>
      <c r="B89" s="129">
        <v>2133</v>
      </c>
      <c r="C89" s="72">
        <f>'ІІ. Розр. з бюджетом'!C45</f>
        <v>17384</v>
      </c>
      <c r="D89" s="72">
        <f>'ІІ. Розр. з бюджетом'!D45</f>
        <v>21947</v>
      </c>
      <c r="E89" s="72">
        <f>'ІІ. Розр. з бюджетом'!E45</f>
        <v>18166</v>
      </c>
      <c r="F89" s="72">
        <f>'ІІ. Розр. з бюджетом'!F45</f>
        <v>23354</v>
      </c>
      <c r="G89" s="72">
        <v>20706</v>
      </c>
      <c r="H89" s="72">
        <v>21741</v>
      </c>
      <c r="I89" s="72">
        <v>22828</v>
      </c>
      <c r="J89" s="72">
        <v>23969</v>
      </c>
    </row>
    <row r="90" spans="1:10" ht="25.5" customHeight="1">
      <c r="A90" s="149" t="s">
        <v>351</v>
      </c>
      <c r="B90" s="129">
        <v>2200</v>
      </c>
      <c r="C90" s="79">
        <f>'ІІ. Розр. з бюджетом'!C50</f>
        <v>132708</v>
      </c>
      <c r="D90" s="79">
        <f>'ІІ. Розр. з бюджетом'!D50</f>
        <v>48399</v>
      </c>
      <c r="E90" s="79">
        <f>'ІІ. Розр. з бюджетом'!E50</f>
        <v>41910</v>
      </c>
      <c r="F90" s="79">
        <f>'ІІ. Розр. з бюджетом'!F50</f>
        <v>50166</v>
      </c>
      <c r="G90" s="79">
        <f>G78+G86+G87</f>
        <v>48519</v>
      </c>
      <c r="H90" s="79">
        <f>H78+H86+H87</f>
        <v>52327</v>
      </c>
      <c r="I90" s="79">
        <f>I78+I86+I87</f>
        <v>52210</v>
      </c>
      <c r="J90" s="79">
        <f>J78+J86+J87</f>
        <v>54814</v>
      </c>
    </row>
    <row r="91" spans="1:10" ht="24.95" customHeight="1">
      <c r="A91" s="344" t="s">
        <v>142</v>
      </c>
      <c r="B91" s="350"/>
      <c r="C91" s="344"/>
      <c r="D91" s="344"/>
      <c r="E91" s="344"/>
      <c r="F91" s="344"/>
      <c r="G91" s="344"/>
      <c r="H91" s="344"/>
      <c r="I91" s="344"/>
      <c r="J91" s="344"/>
    </row>
    <row r="92" spans="1:10" ht="20.100000000000001" customHeight="1">
      <c r="A92" s="150" t="s">
        <v>264</v>
      </c>
      <c r="B92" s="151">
        <v>3405</v>
      </c>
      <c r="C92" s="94">
        <f>'ІІІ. Рух грош. коштів'!C162</f>
        <v>63005.2</v>
      </c>
      <c r="D92" s="94">
        <f>'ІІІ. Рух грош. коштів'!D162</f>
        <v>27072</v>
      </c>
      <c r="E92" s="94">
        <f>'ІІІ. Рух грош. коштів'!E162</f>
        <v>58160.999999999993</v>
      </c>
      <c r="F92" s="94">
        <f>'ІІІ. Рух грош. коштів'!F162</f>
        <v>102148</v>
      </c>
      <c r="G92" s="74" t="s">
        <v>188</v>
      </c>
      <c r="H92" s="74" t="s">
        <v>188</v>
      </c>
      <c r="I92" s="74" t="s">
        <v>188</v>
      </c>
      <c r="J92" s="74" t="s">
        <v>188</v>
      </c>
    </row>
    <row r="93" spans="1:10" ht="20.100000000000001" customHeight="1">
      <c r="A93" s="152" t="s">
        <v>346</v>
      </c>
      <c r="B93" s="153">
        <v>3040</v>
      </c>
      <c r="C93" s="133">
        <f>'ІІІ. Рух грош. коштів'!C11</f>
        <v>848</v>
      </c>
      <c r="D93" s="133">
        <f>'ІІІ. Рух грош. коштів'!D11</f>
        <v>400</v>
      </c>
      <c r="E93" s="133">
        <f>'ІІІ. Рух грош. коштів'!E11</f>
        <v>1101</v>
      </c>
      <c r="F93" s="133">
        <f>'ІІІ. Рух грош. коштів'!F11</f>
        <v>400</v>
      </c>
      <c r="G93" s="74"/>
      <c r="H93" s="74"/>
      <c r="I93" s="74"/>
      <c r="J93" s="74"/>
    </row>
    <row r="94" spans="1:10" ht="20.100000000000001" customHeight="1">
      <c r="A94" s="152" t="s">
        <v>265</v>
      </c>
      <c r="B94" s="153">
        <v>3195</v>
      </c>
      <c r="C94" s="133">
        <f>'ІІІ. Рух грош. коштів'!C61</f>
        <v>16166.799999999988</v>
      </c>
      <c r="D94" s="133">
        <f>'ІІІ. Рух грош. коштів'!D61</f>
        <v>100518</v>
      </c>
      <c r="E94" s="133">
        <f>'ІІІ. Рух грош. коштів'!E61</f>
        <v>19427</v>
      </c>
      <c r="F94" s="133">
        <f>'ІІІ. Рух грош. коштів'!F61</f>
        <v>-8074</v>
      </c>
      <c r="G94" s="74" t="s">
        <v>188</v>
      </c>
      <c r="H94" s="74" t="s">
        <v>188</v>
      </c>
      <c r="I94" s="74" t="s">
        <v>188</v>
      </c>
      <c r="J94" s="74" t="s">
        <v>188</v>
      </c>
    </row>
    <row r="95" spans="1:10" ht="20.100000000000001" customHeight="1">
      <c r="A95" s="152" t="s">
        <v>146</v>
      </c>
      <c r="B95" s="153">
        <v>3295</v>
      </c>
      <c r="C95" s="93">
        <f>'ІІІ. Рух грош. коштів'!C141</f>
        <v>-21010.999999999993</v>
      </c>
      <c r="D95" s="93">
        <f>'ІІІ. Рух грош. коштів'!D141</f>
        <v>-60761</v>
      </c>
      <c r="E95" s="93">
        <f>'ІІІ. Рух грош. коштів'!E141</f>
        <v>24497</v>
      </c>
      <c r="F95" s="93">
        <f>'ІІІ. Рух грош. коштів'!F141</f>
        <v>-10908</v>
      </c>
      <c r="G95" s="74" t="s">
        <v>188</v>
      </c>
      <c r="H95" s="74" t="s">
        <v>188</v>
      </c>
      <c r="I95" s="74" t="s">
        <v>188</v>
      </c>
      <c r="J95" s="74" t="s">
        <v>188</v>
      </c>
    </row>
    <row r="96" spans="1:10" ht="20.100000000000001" customHeight="1">
      <c r="A96" s="152" t="s">
        <v>266</v>
      </c>
      <c r="B96" s="151">
        <v>3395</v>
      </c>
      <c r="C96" s="133">
        <f>'ІІІ. Рух грош. коштів'!C150</f>
        <v>0</v>
      </c>
      <c r="D96" s="133">
        <f>'ІІІ. Рух грош. коштів'!D149</f>
        <v>0</v>
      </c>
      <c r="E96" s="133">
        <f>'ІІІ. Рух грош. коштів'!E149</f>
        <v>0</v>
      </c>
      <c r="F96" s="93">
        <f>'ІІІ. Рух грош. коштів'!F150</f>
        <v>0</v>
      </c>
      <c r="G96" s="74" t="s">
        <v>188</v>
      </c>
      <c r="H96" s="74" t="s">
        <v>188</v>
      </c>
      <c r="I96" s="74" t="s">
        <v>188</v>
      </c>
      <c r="J96" s="74" t="s">
        <v>188</v>
      </c>
    </row>
    <row r="97" spans="1:15" ht="20.100000000000001" customHeight="1">
      <c r="A97" s="152" t="s">
        <v>150</v>
      </c>
      <c r="B97" s="151">
        <v>3410</v>
      </c>
      <c r="C97" s="133">
        <f>'ІІІ. Рух грош. коштів'!C163</f>
        <v>0</v>
      </c>
      <c r="D97" s="133">
        <f>'ІІІ. Рух грош. коштів'!D163</f>
        <v>0</v>
      </c>
      <c r="E97" s="133">
        <f>'ІІІ. Рух грош. коштів'!E163</f>
        <v>0</v>
      </c>
      <c r="F97" s="133">
        <f>'ІІІ. Рух грош. коштів'!F163</f>
        <v>0</v>
      </c>
      <c r="G97" s="74" t="s">
        <v>188</v>
      </c>
      <c r="H97" s="74" t="s">
        <v>188</v>
      </c>
      <c r="I97" s="74" t="s">
        <v>188</v>
      </c>
      <c r="J97" s="74" t="s">
        <v>188</v>
      </c>
    </row>
    <row r="98" spans="1:15" ht="20.100000000000001" customHeight="1">
      <c r="A98" s="154" t="s">
        <v>267</v>
      </c>
      <c r="B98" s="151">
        <v>3415</v>
      </c>
      <c r="C98" s="94">
        <f>SUM(C92,C94:C97)</f>
        <v>58160.999999999993</v>
      </c>
      <c r="D98" s="94">
        <f>SUM(D92,D94:D97)</f>
        <v>66829</v>
      </c>
      <c r="E98" s="94">
        <f>SUM(E92,E94:E97)</f>
        <v>102085</v>
      </c>
      <c r="F98" s="94">
        <f>SUM(F92,F94:F97)</f>
        <v>83166</v>
      </c>
      <c r="G98" s="74" t="s">
        <v>188</v>
      </c>
      <c r="H98" s="74" t="s">
        <v>188</v>
      </c>
      <c r="I98" s="74" t="s">
        <v>188</v>
      </c>
      <c r="J98" s="74" t="s">
        <v>188</v>
      </c>
    </row>
    <row r="99" spans="1:15" ht="24.95" customHeight="1">
      <c r="A99" s="347" t="s">
        <v>180</v>
      </c>
      <c r="B99" s="348"/>
      <c r="C99" s="348"/>
      <c r="D99" s="348"/>
      <c r="E99" s="348"/>
      <c r="F99" s="348"/>
      <c r="G99" s="348"/>
      <c r="H99" s="348"/>
      <c r="I99" s="348"/>
      <c r="J99" s="349"/>
    </row>
    <row r="100" spans="1:15" ht="20.100000000000001" customHeight="1">
      <c r="A100" s="148" t="s">
        <v>179</v>
      </c>
      <c r="B100" s="144">
        <v>4000</v>
      </c>
      <c r="C100" s="78">
        <f>'IV. Кап. інвестиції'!C6</f>
        <v>18996</v>
      </c>
      <c r="D100" s="78">
        <f>'IV. Кап. інвестиції'!D6</f>
        <v>52211</v>
      </c>
      <c r="E100" s="78">
        <f>'IV. Кап. інвестиції'!E6</f>
        <v>23155</v>
      </c>
      <c r="F100" s="78">
        <f>'IV. Кап. інвестиції'!F6</f>
        <v>42050</v>
      </c>
      <c r="G100" s="78">
        <v>58221</v>
      </c>
      <c r="H100" s="78">
        <v>34377</v>
      </c>
      <c r="I100" s="78">
        <v>46636</v>
      </c>
      <c r="J100" s="78">
        <v>57300</v>
      </c>
    </row>
    <row r="101" spans="1:15" ht="24.95" customHeight="1">
      <c r="A101" s="360" t="s">
        <v>183</v>
      </c>
      <c r="B101" s="360"/>
      <c r="C101" s="360"/>
      <c r="D101" s="360"/>
      <c r="E101" s="360"/>
      <c r="F101" s="360"/>
      <c r="G101" s="360"/>
      <c r="H101" s="360"/>
      <c r="I101" s="360"/>
      <c r="J101" s="360"/>
    </row>
    <row r="102" spans="1:15" ht="19.5" customHeight="1">
      <c r="A102" s="155" t="s">
        <v>268</v>
      </c>
      <c r="B102" s="156">
        <v>5040</v>
      </c>
      <c r="C102" s="80">
        <f>(C74/C53)*100</f>
        <v>1776.9028871391076</v>
      </c>
      <c r="D102" s="80">
        <f t="shared" ref="D102:J102" si="13">(D74/D53)*100</f>
        <v>560.16597510373435</v>
      </c>
      <c r="E102" s="80">
        <f t="shared" si="13"/>
        <v>1012.8125000000001</v>
      </c>
      <c r="F102" s="80">
        <f t="shared" si="13"/>
        <v>1340.3614457831327</v>
      </c>
      <c r="G102" s="80">
        <f t="shared" si="13"/>
        <v>81.980198019801975</v>
      </c>
      <c r="H102" s="80">
        <f t="shared" si="13"/>
        <v>81.801801801801801</v>
      </c>
      <c r="I102" s="80">
        <f t="shared" si="13"/>
        <v>81.99672667757774</v>
      </c>
      <c r="J102" s="80">
        <f t="shared" si="13"/>
        <v>33.027522935779821</v>
      </c>
      <c r="L102" s="4"/>
      <c r="M102" s="4"/>
      <c r="N102" s="4"/>
      <c r="O102" s="4"/>
    </row>
    <row r="103" spans="1:15" ht="20.100000000000001" customHeight="1">
      <c r="A103" s="155" t="s">
        <v>269</v>
      </c>
      <c r="B103" s="156">
        <v>5020</v>
      </c>
      <c r="C103" s="80">
        <f>(C74/C114)*100</f>
        <v>7.6384109397389173</v>
      </c>
      <c r="D103" s="80">
        <f>(D74/D114)*100</f>
        <v>1.528255750769788</v>
      </c>
      <c r="E103" s="80">
        <f>(E74/E114)*100</f>
        <v>2.7320009103859868</v>
      </c>
      <c r="F103" s="80">
        <f>(F74/F114)*100</f>
        <v>2.9297003585865458</v>
      </c>
      <c r="G103" s="133" t="s">
        <v>188</v>
      </c>
      <c r="H103" s="133" t="s">
        <v>188</v>
      </c>
      <c r="I103" s="133" t="s">
        <v>188</v>
      </c>
      <c r="J103" s="133" t="s">
        <v>188</v>
      </c>
      <c r="K103" s="46"/>
    </row>
    <row r="104" spans="1:15" ht="20.100000000000001" customHeight="1">
      <c r="A104" s="148" t="s">
        <v>270</v>
      </c>
      <c r="B104" s="126">
        <v>5030</v>
      </c>
      <c r="C104" s="80">
        <f>(C74/C120)*100</f>
        <v>14.616821219219933</v>
      </c>
      <c r="D104" s="80">
        <f>(D74/D120)*100</f>
        <v>3.0244984373424741</v>
      </c>
      <c r="E104" s="80">
        <f>(E74/E120)*100</f>
        <v>7.1115889716611633</v>
      </c>
      <c r="F104" s="80">
        <f>(F74/F120)*100</f>
        <v>7.6086584823718493</v>
      </c>
      <c r="G104" s="133" t="s">
        <v>188</v>
      </c>
      <c r="H104" s="133" t="s">
        <v>188</v>
      </c>
      <c r="I104" s="133" t="s">
        <v>188</v>
      </c>
      <c r="J104" s="133" t="s">
        <v>188</v>
      </c>
      <c r="K104" s="46"/>
    </row>
    <row r="105" spans="1:15" ht="20.100000000000001" customHeight="1">
      <c r="A105" s="157" t="s">
        <v>192</v>
      </c>
      <c r="B105" s="158">
        <v>5110</v>
      </c>
      <c r="C105" s="80">
        <f>C120/C117</f>
        <v>1.0945775088917511</v>
      </c>
      <c r="D105" s="80">
        <f>D120/D117</f>
        <v>1.0213956362055354</v>
      </c>
      <c r="E105" s="80">
        <f>E120/E117</f>
        <v>0.62380316873695374</v>
      </c>
      <c r="F105" s="80">
        <f>F120/F117</f>
        <v>0.62614374420098495</v>
      </c>
      <c r="G105" s="133" t="s">
        <v>188</v>
      </c>
      <c r="H105" s="133" t="s">
        <v>188</v>
      </c>
      <c r="I105" s="133" t="s">
        <v>188</v>
      </c>
      <c r="J105" s="133" t="s">
        <v>188</v>
      </c>
      <c r="K105" s="46"/>
    </row>
    <row r="106" spans="1:15" ht="20.100000000000001" customHeight="1">
      <c r="A106" s="157" t="s">
        <v>271</v>
      </c>
      <c r="B106" s="158">
        <v>5220</v>
      </c>
      <c r="C106" s="80">
        <f>C111/C110</f>
        <v>0.46868962739681203</v>
      </c>
      <c r="D106" s="80">
        <f>D111/D110</f>
        <v>0.46995684469609172</v>
      </c>
      <c r="E106" s="80">
        <f>E111/E110</f>
        <v>0.45954656707600117</v>
      </c>
      <c r="F106" s="80">
        <f>F111/F110</f>
        <v>0.45211245715075166</v>
      </c>
      <c r="G106" s="133" t="s">
        <v>188</v>
      </c>
      <c r="H106" s="133" t="s">
        <v>188</v>
      </c>
      <c r="I106" s="133" t="s">
        <v>188</v>
      </c>
      <c r="J106" s="133" t="s">
        <v>188</v>
      </c>
      <c r="K106" s="46"/>
    </row>
    <row r="107" spans="1:15" ht="24.95" customHeight="1">
      <c r="A107" s="344" t="s">
        <v>182</v>
      </c>
      <c r="B107" s="344"/>
      <c r="C107" s="344"/>
      <c r="D107" s="344"/>
      <c r="E107" s="344"/>
      <c r="F107" s="344"/>
      <c r="G107" s="344"/>
      <c r="H107" s="344"/>
      <c r="I107" s="344"/>
      <c r="J107" s="344"/>
      <c r="K107" s="46"/>
    </row>
    <row r="108" spans="1:15" ht="20.100000000000001" customHeight="1">
      <c r="A108" s="155" t="s">
        <v>272</v>
      </c>
      <c r="B108" s="156">
        <v>6000</v>
      </c>
      <c r="C108" s="72">
        <v>106351</v>
      </c>
      <c r="D108" s="72">
        <v>113529</v>
      </c>
      <c r="E108" s="72">
        <v>119939</v>
      </c>
      <c r="F108" s="72">
        <v>128040</v>
      </c>
      <c r="G108" s="133" t="s">
        <v>188</v>
      </c>
      <c r="H108" s="133" t="s">
        <v>188</v>
      </c>
      <c r="I108" s="133" t="s">
        <v>188</v>
      </c>
      <c r="J108" s="133" t="s">
        <v>188</v>
      </c>
      <c r="K108" s="46"/>
    </row>
    <row r="109" spans="1:15" ht="20.100000000000001" customHeight="1">
      <c r="A109" s="155" t="s">
        <v>377</v>
      </c>
      <c r="B109" s="156">
        <v>6001</v>
      </c>
      <c r="C109" s="72">
        <f>C110-C111</f>
        <v>84430</v>
      </c>
      <c r="D109" s="72">
        <f>D110-D111</f>
        <v>96047</v>
      </c>
      <c r="E109" s="72">
        <f t="shared" ref="E109:F109" si="14">E110-E111</f>
        <v>102457</v>
      </c>
      <c r="F109" s="72">
        <f t="shared" si="14"/>
        <v>126905</v>
      </c>
      <c r="G109" s="133" t="s">
        <v>188</v>
      </c>
      <c r="H109" s="133" t="s">
        <v>188</v>
      </c>
      <c r="I109" s="133" t="s">
        <v>188</v>
      </c>
      <c r="J109" s="133" t="s">
        <v>188</v>
      </c>
      <c r="K109" s="46"/>
    </row>
    <row r="110" spans="1:15" ht="20.100000000000001" customHeight="1">
      <c r="A110" s="155" t="s">
        <v>273</v>
      </c>
      <c r="B110" s="156">
        <v>6002</v>
      </c>
      <c r="C110" s="72">
        <v>158909</v>
      </c>
      <c r="D110" s="72">
        <v>181206</v>
      </c>
      <c r="E110" s="72">
        <v>189576</v>
      </c>
      <c r="F110" s="72">
        <f>E110+'IV. Кап. інвестиції'!F6</f>
        <v>231626</v>
      </c>
      <c r="G110" s="133" t="s">
        <v>188</v>
      </c>
      <c r="H110" s="133" t="s">
        <v>188</v>
      </c>
      <c r="I110" s="133" t="s">
        <v>188</v>
      </c>
      <c r="J110" s="133" t="s">
        <v>188</v>
      </c>
      <c r="K110" s="46"/>
    </row>
    <row r="111" spans="1:15" ht="21.75" customHeight="1">
      <c r="A111" s="155" t="s">
        <v>274</v>
      </c>
      <c r="B111" s="156">
        <v>6003</v>
      </c>
      <c r="C111" s="72">
        <v>74479</v>
      </c>
      <c r="D111" s="72">
        <v>85159</v>
      </c>
      <c r="E111" s="72">
        <v>87119</v>
      </c>
      <c r="F111" s="72">
        <f>E111+'I. Фін результат'!F145</f>
        <v>104721</v>
      </c>
      <c r="G111" s="133" t="s">
        <v>188</v>
      </c>
      <c r="H111" s="133" t="s">
        <v>188</v>
      </c>
      <c r="I111" s="133" t="s">
        <v>188</v>
      </c>
      <c r="J111" s="133" t="s">
        <v>188</v>
      </c>
      <c r="K111" s="46"/>
    </row>
    <row r="112" spans="1:15" ht="20.100000000000001" customHeight="1">
      <c r="A112" s="148" t="s">
        <v>275</v>
      </c>
      <c r="B112" s="126">
        <v>6010</v>
      </c>
      <c r="C112" s="72">
        <v>70911</v>
      </c>
      <c r="D112" s="72">
        <v>63143</v>
      </c>
      <c r="E112" s="72">
        <v>117323</v>
      </c>
      <c r="F112" s="72">
        <f>ROUND(F113*1.2,0)</f>
        <v>99799</v>
      </c>
      <c r="G112" s="133" t="s">
        <v>188</v>
      </c>
      <c r="H112" s="133" t="s">
        <v>188</v>
      </c>
      <c r="I112" s="133" t="s">
        <v>188</v>
      </c>
      <c r="J112" s="133" t="s">
        <v>188</v>
      </c>
      <c r="K112" s="46"/>
    </row>
    <row r="113" spans="1:12" ht="20.100000000000001" customHeight="1">
      <c r="A113" s="148" t="s">
        <v>378</v>
      </c>
      <c r="B113" s="126">
        <v>6011</v>
      </c>
      <c r="C113" s="72">
        <v>58161</v>
      </c>
      <c r="D113" s="72">
        <v>64511</v>
      </c>
      <c r="E113" s="72">
        <f>'ІІІ. Рух грош. коштів'!E164</f>
        <v>102085</v>
      </c>
      <c r="F113" s="72">
        <f>'ІІІ. Рух грош. коштів'!F164</f>
        <v>83166</v>
      </c>
      <c r="G113" s="133" t="s">
        <v>188</v>
      </c>
      <c r="H113" s="133" t="s">
        <v>188</v>
      </c>
      <c r="I113" s="133" t="s">
        <v>188</v>
      </c>
      <c r="J113" s="133" t="s">
        <v>188</v>
      </c>
      <c r="K113" s="46"/>
    </row>
    <row r="114" spans="1:12" s="4" customFormat="1" ht="20.100000000000001" customHeight="1">
      <c r="A114" s="149" t="s">
        <v>212</v>
      </c>
      <c r="B114" s="126">
        <v>6020</v>
      </c>
      <c r="C114" s="79">
        <v>177262</v>
      </c>
      <c r="D114" s="79">
        <f>D108+D112</f>
        <v>176672</v>
      </c>
      <c r="E114" s="79">
        <f>E108+E112</f>
        <v>237262</v>
      </c>
      <c r="F114" s="79">
        <f>F108+F112</f>
        <v>227839</v>
      </c>
      <c r="G114" s="133" t="s">
        <v>188</v>
      </c>
      <c r="H114" s="133" t="s">
        <v>188</v>
      </c>
      <c r="I114" s="133" t="s">
        <v>188</v>
      </c>
      <c r="J114" s="133" t="s">
        <v>188</v>
      </c>
      <c r="K114" s="46"/>
      <c r="L114" s="120"/>
    </row>
    <row r="115" spans="1:12" ht="20.100000000000001" customHeight="1">
      <c r="A115" s="148" t="s">
        <v>151</v>
      </c>
      <c r="B115" s="126">
        <v>6030</v>
      </c>
      <c r="C115" s="72">
        <v>53904</v>
      </c>
      <c r="D115" s="72">
        <v>60229</v>
      </c>
      <c r="E115" s="72">
        <v>89723</v>
      </c>
      <c r="F115" s="72">
        <f>108254+170022-156015-40498+11265</f>
        <v>93028</v>
      </c>
      <c r="G115" s="133" t="s">
        <v>188</v>
      </c>
      <c r="H115" s="133" t="s">
        <v>188</v>
      </c>
      <c r="I115" s="133" t="s">
        <v>188</v>
      </c>
      <c r="J115" s="133" t="s">
        <v>188</v>
      </c>
      <c r="K115" s="46"/>
    </row>
    <row r="116" spans="1:12" ht="20.100000000000001" customHeight="1">
      <c r="A116" s="148" t="s">
        <v>152</v>
      </c>
      <c r="B116" s="126">
        <v>6040</v>
      </c>
      <c r="C116" s="72">
        <v>30725</v>
      </c>
      <c r="D116" s="72">
        <v>27172</v>
      </c>
      <c r="E116" s="72">
        <v>56392</v>
      </c>
      <c r="F116" s="72">
        <v>47082</v>
      </c>
      <c r="G116" s="133" t="s">
        <v>188</v>
      </c>
      <c r="H116" s="133" t="s">
        <v>188</v>
      </c>
      <c r="I116" s="133" t="s">
        <v>188</v>
      </c>
      <c r="J116" s="133" t="s">
        <v>188</v>
      </c>
      <c r="K116" s="46"/>
    </row>
    <row r="117" spans="1:12" s="4" customFormat="1" ht="20.100000000000001" customHeight="1">
      <c r="A117" s="149" t="s">
        <v>211</v>
      </c>
      <c r="B117" s="126">
        <v>6050</v>
      </c>
      <c r="C117" s="79">
        <f>SUM(C115:C116)</f>
        <v>84629</v>
      </c>
      <c r="D117" s="79">
        <f>SUM(D115:D116)</f>
        <v>87401</v>
      </c>
      <c r="E117" s="79">
        <f>SUM(E115:E116)</f>
        <v>146115</v>
      </c>
      <c r="F117" s="79">
        <f>F115+F116</f>
        <v>140110</v>
      </c>
      <c r="G117" s="133" t="s">
        <v>188</v>
      </c>
      <c r="H117" s="133" t="s">
        <v>188</v>
      </c>
      <c r="I117" s="133" t="s">
        <v>188</v>
      </c>
      <c r="J117" s="133" t="s">
        <v>188</v>
      </c>
      <c r="K117" s="46"/>
      <c r="L117" s="120"/>
    </row>
    <row r="118" spans="1:12" ht="20.100000000000001" customHeight="1">
      <c r="A118" s="148" t="s">
        <v>379</v>
      </c>
      <c r="B118" s="126">
        <v>6060</v>
      </c>
      <c r="C118" s="73"/>
      <c r="D118" s="73"/>
      <c r="E118" s="73"/>
      <c r="F118" s="73"/>
      <c r="G118" s="73"/>
      <c r="H118" s="73"/>
      <c r="I118" s="73"/>
      <c r="J118" s="73"/>
      <c r="K118" s="46"/>
    </row>
    <row r="119" spans="1:12" ht="20.100000000000001" customHeight="1">
      <c r="A119" s="148" t="s">
        <v>380</v>
      </c>
      <c r="B119" s="126">
        <v>6070</v>
      </c>
      <c r="C119" s="73"/>
      <c r="D119" s="73"/>
      <c r="E119" s="73"/>
      <c r="F119" s="73"/>
      <c r="G119" s="133" t="s">
        <v>188</v>
      </c>
      <c r="H119" s="133" t="s">
        <v>188</v>
      </c>
      <c r="I119" s="133" t="s">
        <v>188</v>
      </c>
      <c r="J119" s="133" t="s">
        <v>188</v>
      </c>
      <c r="K119" s="46"/>
    </row>
    <row r="120" spans="1:12" s="4" customFormat="1" ht="20.100000000000001" customHeight="1">
      <c r="A120" s="149" t="s">
        <v>140</v>
      </c>
      <c r="B120" s="126">
        <v>6080</v>
      </c>
      <c r="C120" s="75">
        <f>C114-C117</f>
        <v>92633</v>
      </c>
      <c r="D120" s="75">
        <f>D114-D117</f>
        <v>89271</v>
      </c>
      <c r="E120" s="75">
        <f>E114-E117</f>
        <v>91147</v>
      </c>
      <c r="F120" s="75">
        <f>F114-F117</f>
        <v>87729</v>
      </c>
      <c r="G120" s="133" t="s">
        <v>188</v>
      </c>
      <c r="H120" s="133" t="s">
        <v>188</v>
      </c>
      <c r="I120" s="133" t="s">
        <v>188</v>
      </c>
      <c r="J120" s="133" t="s">
        <v>188</v>
      </c>
      <c r="K120" s="46"/>
      <c r="L120" s="120"/>
    </row>
    <row r="121" spans="1:12" s="4" customFormat="1" ht="20.100000000000001" customHeight="1">
      <c r="A121" s="361"/>
      <c r="B121" s="344"/>
      <c r="C121" s="344"/>
      <c r="D121" s="344"/>
      <c r="E121" s="344"/>
      <c r="F121" s="344"/>
      <c r="G121" s="344"/>
      <c r="H121" s="344"/>
      <c r="I121" s="344"/>
      <c r="J121" s="344"/>
      <c r="K121" s="46"/>
      <c r="L121" s="120"/>
    </row>
    <row r="122" spans="1:12" s="4" customFormat="1" ht="20.100000000000001" customHeight="1">
      <c r="A122" s="159" t="s">
        <v>347</v>
      </c>
      <c r="B122" s="160" t="s">
        <v>276</v>
      </c>
      <c r="C122" s="75">
        <f t="shared" ref="C122:J122" si="15">SUM(C123:C125)</f>
        <v>0</v>
      </c>
      <c r="D122" s="75">
        <f t="shared" si="15"/>
        <v>0</v>
      </c>
      <c r="E122" s="75">
        <f t="shared" si="15"/>
        <v>0</v>
      </c>
      <c r="F122" s="75">
        <f t="shared" si="15"/>
        <v>0</v>
      </c>
      <c r="G122" s="75">
        <f t="shared" si="15"/>
        <v>0</v>
      </c>
      <c r="H122" s="75">
        <f t="shared" si="15"/>
        <v>0</v>
      </c>
      <c r="I122" s="75">
        <f t="shared" si="15"/>
        <v>0</v>
      </c>
      <c r="J122" s="75">
        <f t="shared" si="15"/>
        <v>0</v>
      </c>
      <c r="K122" s="46"/>
      <c r="L122" s="120"/>
    </row>
    <row r="123" spans="1:12" s="4" customFormat="1" ht="20.100000000000001" customHeight="1">
      <c r="A123" s="148" t="s">
        <v>381</v>
      </c>
      <c r="B123" s="161" t="s">
        <v>277</v>
      </c>
      <c r="C123" s="73"/>
      <c r="D123" s="73"/>
      <c r="E123" s="73"/>
      <c r="F123" s="73">
        <f>'6.1. Інша інфо_1'!G72</f>
        <v>0</v>
      </c>
      <c r="G123" s="73"/>
      <c r="H123" s="73"/>
      <c r="I123" s="73"/>
      <c r="J123" s="73"/>
    </row>
    <row r="124" spans="1:12" s="4" customFormat="1" ht="20.100000000000001" customHeight="1">
      <c r="A124" s="148" t="s">
        <v>382</v>
      </c>
      <c r="B124" s="161" t="s">
        <v>278</v>
      </c>
      <c r="C124" s="73"/>
      <c r="D124" s="73"/>
      <c r="E124" s="73"/>
      <c r="F124" s="73">
        <f>'6.1. Інша інфо_1'!G75</f>
        <v>0</v>
      </c>
      <c r="G124" s="73"/>
      <c r="H124" s="73"/>
      <c r="I124" s="73"/>
      <c r="J124" s="73"/>
    </row>
    <row r="125" spans="1:12" s="4" customFormat="1" ht="20.100000000000001" customHeight="1">
      <c r="A125" s="148" t="s">
        <v>383</v>
      </c>
      <c r="B125" s="161" t="s">
        <v>279</v>
      </c>
      <c r="C125" s="73"/>
      <c r="D125" s="73"/>
      <c r="E125" s="73"/>
      <c r="F125" s="73">
        <f>'6.1. Інша інфо_1'!G78</f>
        <v>0</v>
      </c>
      <c r="G125" s="73"/>
      <c r="H125" s="73"/>
      <c r="I125" s="73"/>
      <c r="J125" s="73"/>
    </row>
    <row r="126" spans="1:12" s="4" customFormat="1" ht="20.100000000000001" customHeight="1">
      <c r="A126" s="149" t="s">
        <v>348</v>
      </c>
      <c r="B126" s="161" t="s">
        <v>280</v>
      </c>
      <c r="C126" s="75">
        <f t="shared" ref="C126:J126" si="16">SUM(C127:C129)</f>
        <v>0</v>
      </c>
      <c r="D126" s="75">
        <f t="shared" si="16"/>
        <v>0</v>
      </c>
      <c r="E126" s="75">
        <f t="shared" si="16"/>
        <v>0</v>
      </c>
      <c r="F126" s="75">
        <f t="shared" si="16"/>
        <v>0</v>
      </c>
      <c r="G126" s="75">
        <f t="shared" si="16"/>
        <v>0</v>
      </c>
      <c r="H126" s="75">
        <f t="shared" si="16"/>
        <v>0</v>
      </c>
      <c r="I126" s="75">
        <f t="shared" si="16"/>
        <v>0</v>
      </c>
      <c r="J126" s="75">
        <f t="shared" si="16"/>
        <v>0</v>
      </c>
    </row>
    <row r="127" spans="1:12" s="4" customFormat="1" ht="20.100000000000001" customHeight="1">
      <c r="A127" s="148" t="s">
        <v>381</v>
      </c>
      <c r="B127" s="161" t="s">
        <v>281</v>
      </c>
      <c r="C127" s="73"/>
      <c r="D127" s="73"/>
      <c r="E127" s="73"/>
      <c r="F127" s="73">
        <f>'6.1. Інша інфо_1'!J72</f>
        <v>0</v>
      </c>
      <c r="G127" s="73"/>
      <c r="H127" s="73"/>
      <c r="I127" s="73"/>
      <c r="J127" s="73"/>
    </row>
    <row r="128" spans="1:12" s="4" customFormat="1" ht="19.5" customHeight="1">
      <c r="A128" s="148" t="s">
        <v>382</v>
      </c>
      <c r="B128" s="161" t="s">
        <v>282</v>
      </c>
      <c r="C128" s="73"/>
      <c r="D128" s="73"/>
      <c r="E128" s="73"/>
      <c r="F128" s="73">
        <f>'6.1. Інша інфо_1'!J75</f>
        <v>0</v>
      </c>
      <c r="G128" s="73"/>
      <c r="H128" s="73"/>
      <c r="I128" s="73"/>
      <c r="J128" s="73"/>
    </row>
    <row r="129" spans="1:10" ht="19.5" customHeight="1">
      <c r="A129" s="157" t="s">
        <v>383</v>
      </c>
      <c r="B129" s="162" t="s">
        <v>283</v>
      </c>
      <c r="C129" s="73"/>
      <c r="D129" s="73"/>
      <c r="E129" s="73"/>
      <c r="F129" s="73">
        <f>'6.1. Інша інфо_1'!J78</f>
        <v>0</v>
      </c>
      <c r="G129" s="73"/>
      <c r="H129" s="73"/>
      <c r="I129" s="73"/>
      <c r="J129" s="73"/>
    </row>
    <row r="130" spans="1:10">
      <c r="A130" s="344" t="s">
        <v>284</v>
      </c>
      <c r="B130" s="344"/>
      <c r="C130" s="344"/>
      <c r="D130" s="344"/>
      <c r="E130" s="344"/>
      <c r="F130" s="344"/>
      <c r="G130" s="344"/>
      <c r="H130" s="344"/>
      <c r="I130" s="344"/>
      <c r="J130" s="344"/>
    </row>
    <row r="131" spans="1:10" s="113" customFormat="1" ht="56.25">
      <c r="A131" s="149" t="s">
        <v>337</v>
      </c>
      <c r="B131" s="161" t="s">
        <v>285</v>
      </c>
      <c r="C131" s="75">
        <f>SUM(C132:C134)</f>
        <v>258</v>
      </c>
      <c r="D131" s="75">
        <f>SUM(D132:D134)</f>
        <v>331</v>
      </c>
      <c r="E131" s="75">
        <f>SUM(E132:E134)</f>
        <v>288</v>
      </c>
      <c r="F131" s="75">
        <f>SUM(F132:F134)</f>
        <v>334</v>
      </c>
      <c r="G131" s="133" t="s">
        <v>188</v>
      </c>
      <c r="H131" s="133" t="s">
        <v>188</v>
      </c>
      <c r="I131" s="133" t="s">
        <v>188</v>
      </c>
      <c r="J131" s="133" t="s">
        <v>188</v>
      </c>
    </row>
    <row r="132" spans="1:10" s="113" customFormat="1">
      <c r="A132" s="143" t="s">
        <v>207</v>
      </c>
      <c r="B132" s="161" t="s">
        <v>286</v>
      </c>
      <c r="C132" s="73">
        <f>'6.1. Інша інфо_1'!D14</f>
        <v>1</v>
      </c>
      <c r="D132" s="73">
        <f>'6.1. Інша інфо_1'!F14</f>
        <v>1</v>
      </c>
      <c r="E132" s="73">
        <f>'6.1. Інша інфо_1'!H14</f>
        <v>1</v>
      </c>
      <c r="F132" s="73">
        <f>'6.1. Інша інфо_1'!J14</f>
        <v>1</v>
      </c>
      <c r="G132" s="133" t="s">
        <v>188</v>
      </c>
      <c r="H132" s="133" t="s">
        <v>188</v>
      </c>
      <c r="I132" s="133" t="s">
        <v>188</v>
      </c>
      <c r="J132" s="133" t="s">
        <v>188</v>
      </c>
    </row>
    <row r="133" spans="1:10" s="113" customFormat="1">
      <c r="A133" s="143" t="s">
        <v>216</v>
      </c>
      <c r="B133" s="161" t="s">
        <v>287</v>
      </c>
      <c r="C133" s="73">
        <f>'6.1. Інша інфо_1'!D15</f>
        <v>72</v>
      </c>
      <c r="D133" s="73">
        <f>'6.1. Інша інфо_1'!F15</f>
        <v>81</v>
      </c>
      <c r="E133" s="73">
        <f>'6.1. Інша інфо_1'!H15</f>
        <v>72</v>
      </c>
      <c r="F133" s="73">
        <f>'6.1. Інша інфо_1'!J15</f>
        <v>85</v>
      </c>
      <c r="G133" s="133" t="s">
        <v>188</v>
      </c>
      <c r="H133" s="133" t="s">
        <v>188</v>
      </c>
      <c r="I133" s="133" t="s">
        <v>188</v>
      </c>
      <c r="J133" s="133" t="s">
        <v>188</v>
      </c>
    </row>
    <row r="134" spans="1:10" s="113" customFormat="1">
      <c r="A134" s="143" t="s">
        <v>208</v>
      </c>
      <c r="B134" s="161" t="s">
        <v>288</v>
      </c>
      <c r="C134" s="73">
        <f>'6.1. Інша інфо_1'!D16</f>
        <v>185</v>
      </c>
      <c r="D134" s="73">
        <f>'6.1. Інша інфо_1'!F16</f>
        <v>249</v>
      </c>
      <c r="E134" s="73">
        <f>'6.1. Інша інфо_1'!H16</f>
        <v>215</v>
      </c>
      <c r="F134" s="73">
        <f>'6.1. Інша інфо_1'!J16</f>
        <v>248</v>
      </c>
      <c r="G134" s="133" t="s">
        <v>188</v>
      </c>
      <c r="H134" s="133" t="s">
        <v>188</v>
      </c>
      <c r="I134" s="133" t="s">
        <v>188</v>
      </c>
      <c r="J134" s="133" t="s">
        <v>188</v>
      </c>
    </row>
    <row r="135" spans="1:10" s="113" customFormat="1">
      <c r="A135" s="149" t="s">
        <v>5</v>
      </c>
      <c r="B135" s="161" t="s">
        <v>289</v>
      </c>
      <c r="C135" s="79">
        <f>'I. Фін результат'!C143</f>
        <v>81647</v>
      </c>
      <c r="D135" s="79">
        <f>'I. Фін результат'!D143</f>
        <v>99260</v>
      </c>
      <c r="E135" s="79">
        <f>'I. Фін результат'!E143</f>
        <v>89514</v>
      </c>
      <c r="F135" s="79">
        <f>'I. Фін результат'!F143</f>
        <v>106159</v>
      </c>
      <c r="G135" s="133" t="s">
        <v>188</v>
      </c>
      <c r="H135" s="133" t="s">
        <v>188</v>
      </c>
      <c r="I135" s="133" t="s">
        <v>188</v>
      </c>
      <c r="J135" s="133" t="s">
        <v>188</v>
      </c>
    </row>
    <row r="136" spans="1:10" s="113" customFormat="1" ht="37.5">
      <c r="A136" s="149" t="s">
        <v>384</v>
      </c>
      <c r="B136" s="161" t="s">
        <v>290</v>
      </c>
      <c r="C136" s="79">
        <f>'6.1. Інша інфо_1'!D29</f>
        <v>26371.770025839793</v>
      </c>
      <c r="D136" s="79">
        <f>'6.1. Інша інфо_1'!F29</f>
        <v>24989.929506545821</v>
      </c>
      <c r="E136" s="79">
        <f>'6.1. Інша інфо_1'!H29</f>
        <v>25901.041666666668</v>
      </c>
      <c r="F136" s="79">
        <f>'6.1. Інша інфо_1'!J29</f>
        <v>26486.776447105785</v>
      </c>
      <c r="G136" s="133" t="s">
        <v>188</v>
      </c>
      <c r="H136" s="133" t="s">
        <v>188</v>
      </c>
      <c r="I136" s="133" t="s">
        <v>188</v>
      </c>
      <c r="J136" s="133" t="s">
        <v>188</v>
      </c>
    </row>
    <row r="137" spans="1:10" s="113" customFormat="1">
      <c r="A137" s="143" t="s">
        <v>649</v>
      </c>
      <c r="B137" s="161" t="s">
        <v>291</v>
      </c>
      <c r="C137" s="72"/>
      <c r="D137" s="72"/>
      <c r="E137" s="72"/>
      <c r="F137" s="72"/>
      <c r="G137" s="133" t="s">
        <v>188</v>
      </c>
      <c r="H137" s="133" t="s">
        <v>188</v>
      </c>
      <c r="I137" s="133" t="s">
        <v>188</v>
      </c>
      <c r="J137" s="133" t="s">
        <v>188</v>
      </c>
    </row>
    <row r="138" spans="1:10" s="113" customFormat="1">
      <c r="A138" s="143" t="s">
        <v>650</v>
      </c>
      <c r="B138" s="161" t="s">
        <v>292</v>
      </c>
      <c r="C138" s="72"/>
      <c r="D138" s="72"/>
      <c r="E138" s="72"/>
      <c r="F138" s="72"/>
      <c r="G138" s="133"/>
      <c r="H138" s="133"/>
      <c r="I138" s="133"/>
      <c r="J138" s="133"/>
    </row>
    <row r="139" spans="1:10" s="113" customFormat="1">
      <c r="A139" s="143" t="s">
        <v>651</v>
      </c>
      <c r="B139" s="161" t="s">
        <v>293</v>
      </c>
      <c r="C139" s="72">
        <f>'6.1. Інша інфо_1'!D32</f>
        <v>71741.666666666657</v>
      </c>
      <c r="D139" s="72">
        <f>'6.1. Інша інфо_1'!F32</f>
        <v>108633.33333333333</v>
      </c>
      <c r="E139" s="72">
        <f>'6.1. Інша інфо_1'!H32</f>
        <v>83475.000000000015</v>
      </c>
      <c r="F139" s="72">
        <f>'6.1. Інша інфо_1'!J32</f>
        <v>142150</v>
      </c>
      <c r="G139" s="133"/>
      <c r="H139" s="133"/>
      <c r="I139" s="133"/>
      <c r="J139" s="133"/>
    </row>
    <row r="140" spans="1:10" s="113" customFormat="1">
      <c r="A140" s="143" t="s">
        <v>216</v>
      </c>
      <c r="B140" s="161" t="s">
        <v>657</v>
      </c>
      <c r="C140" s="72">
        <f>'6.1. Інша інфо_1'!D36</f>
        <v>24723.495370370369</v>
      </c>
      <c r="D140" s="72">
        <f>'6.1. Інша інфо_1'!F36</f>
        <v>23636.213991769549</v>
      </c>
      <c r="E140" s="72">
        <f>'6.1. Інша інфо_1'!H36</f>
        <v>25684.027777777774</v>
      </c>
      <c r="F140" s="72">
        <f>'6.1. Інша інфо_1'!J36</f>
        <v>25969.803921568626</v>
      </c>
      <c r="G140" s="133" t="s">
        <v>188</v>
      </c>
      <c r="H140" s="133" t="s">
        <v>188</v>
      </c>
      <c r="I140" s="133" t="s">
        <v>188</v>
      </c>
      <c r="J140" s="133" t="s">
        <v>188</v>
      </c>
    </row>
    <row r="141" spans="1:10" s="113" customFormat="1">
      <c r="A141" s="143" t="s">
        <v>208</v>
      </c>
      <c r="B141" s="161" t="s">
        <v>658</v>
      </c>
      <c r="C141" s="72">
        <f>'6.1. Інша інфо_1'!D37</f>
        <v>26768.018018018014</v>
      </c>
      <c r="D141" s="72">
        <f>'6.1. Інша інфо_1'!F37</f>
        <v>25094.377510040162</v>
      </c>
      <c r="E141" s="72">
        <f>'6.1. Інша інфо_1'!H37</f>
        <v>25705.930232558141</v>
      </c>
      <c r="F141" s="72">
        <f>'6.1. Інша інфо_1'!J37</f>
        <v>26197.580645161292</v>
      </c>
      <c r="G141" s="133" t="s">
        <v>188</v>
      </c>
      <c r="H141" s="133" t="s">
        <v>188</v>
      </c>
      <c r="I141" s="133" t="s">
        <v>188</v>
      </c>
      <c r="J141" s="133" t="s">
        <v>188</v>
      </c>
    </row>
    <row r="142" spans="1:10" s="113" customFormat="1">
      <c r="A142" s="163"/>
      <c r="C142" s="164"/>
      <c r="D142" s="165"/>
      <c r="E142" s="165"/>
      <c r="F142" s="165"/>
      <c r="G142" s="76"/>
      <c r="H142" s="76"/>
      <c r="I142" s="76"/>
      <c r="J142" s="76"/>
    </row>
    <row r="143" spans="1:10" s="113" customFormat="1">
      <c r="A143" s="163"/>
      <c r="C143" s="164"/>
      <c r="D143" s="165"/>
      <c r="E143" s="165"/>
      <c r="F143" s="165"/>
      <c r="G143" s="76"/>
      <c r="H143" s="76"/>
      <c r="I143" s="76"/>
      <c r="J143" s="76"/>
    </row>
    <row r="144" spans="1:10" ht="20.100000000000001" customHeight="1">
      <c r="A144" s="115" t="s">
        <v>828</v>
      </c>
      <c r="B144" s="166"/>
      <c r="C144" s="357" t="s">
        <v>106</v>
      </c>
      <c r="D144" s="358"/>
      <c r="E144" s="358"/>
      <c r="F144" s="358"/>
      <c r="G144" s="77"/>
      <c r="H144" s="359" t="s">
        <v>829</v>
      </c>
      <c r="I144" s="359"/>
      <c r="J144" s="359"/>
    </row>
    <row r="145" spans="1:10" s="81" customFormat="1" ht="20.100000000000001" customHeight="1">
      <c r="A145" s="114"/>
      <c r="B145" s="120"/>
      <c r="C145" s="336" t="s">
        <v>220</v>
      </c>
      <c r="D145" s="336"/>
      <c r="E145" s="336"/>
      <c r="F145" s="336"/>
      <c r="G145" s="118"/>
      <c r="H145" s="335"/>
      <c r="I145" s="335"/>
      <c r="J145" s="335"/>
    </row>
    <row r="146" spans="1:10" s="113" customFormat="1">
      <c r="A146" s="28"/>
      <c r="F146" s="120"/>
      <c r="G146" s="120"/>
      <c r="H146" s="120"/>
      <c r="I146" s="120"/>
      <c r="J146" s="120"/>
    </row>
    <row r="147" spans="1:10" s="113" customFormat="1">
      <c r="A147" s="28"/>
      <c r="F147" s="120"/>
      <c r="G147" s="120"/>
      <c r="H147" s="120"/>
      <c r="I147" s="120"/>
      <c r="J147" s="120"/>
    </row>
    <row r="148" spans="1:10" s="113" customFormat="1">
      <c r="A148" s="28"/>
      <c r="F148" s="120"/>
      <c r="G148" s="120"/>
      <c r="H148" s="120"/>
      <c r="I148" s="120"/>
      <c r="J148" s="120"/>
    </row>
    <row r="149" spans="1:10" s="113" customFormat="1">
      <c r="A149" s="28"/>
      <c r="F149" s="120"/>
      <c r="G149" s="120"/>
      <c r="H149" s="120"/>
      <c r="I149" s="120"/>
      <c r="J149" s="120"/>
    </row>
    <row r="150" spans="1:10" s="113" customFormat="1">
      <c r="A150" s="28"/>
      <c r="F150" s="120"/>
      <c r="G150" s="120"/>
      <c r="H150" s="120"/>
      <c r="I150" s="120"/>
      <c r="J150" s="120"/>
    </row>
    <row r="151" spans="1:10" s="113" customFormat="1">
      <c r="A151" s="28"/>
      <c r="F151" s="120"/>
      <c r="G151" s="120"/>
      <c r="H151" s="120"/>
      <c r="I151" s="120"/>
      <c r="J151" s="120"/>
    </row>
    <row r="152" spans="1:10" s="113" customFormat="1">
      <c r="A152" s="28"/>
      <c r="F152" s="120"/>
      <c r="G152" s="120"/>
      <c r="H152" s="120"/>
      <c r="I152" s="120"/>
      <c r="J152" s="120"/>
    </row>
    <row r="153" spans="1:10" s="113" customFormat="1">
      <c r="A153" s="28"/>
      <c r="F153" s="120"/>
      <c r="G153" s="120"/>
      <c r="H153" s="120"/>
      <c r="I153" s="120"/>
      <c r="J153" s="120"/>
    </row>
    <row r="154" spans="1:10" s="113" customFormat="1">
      <c r="A154" s="28"/>
      <c r="F154" s="120"/>
      <c r="G154" s="120"/>
      <c r="H154" s="120"/>
      <c r="I154" s="120"/>
      <c r="J154" s="120"/>
    </row>
    <row r="155" spans="1:10" s="113" customFormat="1">
      <c r="A155" s="28"/>
      <c r="F155" s="120"/>
      <c r="G155" s="120"/>
      <c r="H155" s="120"/>
      <c r="I155" s="120"/>
      <c r="J155" s="120"/>
    </row>
    <row r="156" spans="1:10" s="113" customFormat="1">
      <c r="A156" s="28"/>
      <c r="F156" s="120"/>
      <c r="G156" s="120"/>
      <c r="H156" s="120"/>
      <c r="I156" s="120"/>
      <c r="J156" s="120"/>
    </row>
    <row r="157" spans="1:10" s="113" customFormat="1">
      <c r="A157" s="28"/>
      <c r="F157" s="120"/>
      <c r="G157" s="120"/>
      <c r="H157" s="120"/>
      <c r="I157" s="120"/>
      <c r="J157" s="120"/>
    </row>
    <row r="158" spans="1:10" s="113" customFormat="1">
      <c r="A158" s="28"/>
      <c r="F158" s="120"/>
      <c r="G158" s="120"/>
      <c r="H158" s="120"/>
      <c r="I158" s="120"/>
      <c r="J158" s="120"/>
    </row>
    <row r="159" spans="1:10" s="113" customFormat="1">
      <c r="A159" s="28"/>
      <c r="F159" s="120"/>
      <c r="G159" s="120"/>
      <c r="H159" s="120"/>
      <c r="I159" s="120"/>
      <c r="J159" s="120"/>
    </row>
    <row r="160" spans="1:10" s="113" customFormat="1">
      <c r="A160" s="28"/>
      <c r="F160" s="120"/>
      <c r="G160" s="120"/>
      <c r="H160" s="120"/>
      <c r="I160" s="120"/>
      <c r="J160" s="120"/>
    </row>
    <row r="161" spans="1:10" s="113" customFormat="1">
      <c r="A161" s="28"/>
      <c r="F161" s="120"/>
      <c r="G161" s="120"/>
      <c r="H161" s="120"/>
      <c r="I161" s="120"/>
      <c r="J161" s="120"/>
    </row>
    <row r="162" spans="1:10" s="113" customFormat="1">
      <c r="A162" s="28"/>
      <c r="F162" s="120"/>
      <c r="G162" s="120"/>
      <c r="H162" s="120"/>
      <c r="I162" s="120"/>
      <c r="J162" s="120"/>
    </row>
    <row r="163" spans="1:10" s="113" customFormat="1">
      <c r="A163" s="28"/>
      <c r="F163" s="120"/>
      <c r="G163" s="120"/>
      <c r="H163" s="120"/>
      <c r="I163" s="120"/>
      <c r="J163" s="120"/>
    </row>
    <row r="164" spans="1:10" s="113" customFormat="1">
      <c r="A164" s="28"/>
      <c r="F164" s="120"/>
      <c r="G164" s="120"/>
      <c r="H164" s="120"/>
      <c r="I164" s="120"/>
      <c r="J164" s="120"/>
    </row>
    <row r="165" spans="1:10" s="113" customFormat="1">
      <c r="A165" s="28"/>
      <c r="F165" s="120"/>
      <c r="G165" s="120"/>
      <c r="H165" s="120"/>
      <c r="I165" s="120"/>
      <c r="J165" s="120"/>
    </row>
    <row r="166" spans="1:10" s="113" customFormat="1">
      <c r="A166" s="28"/>
      <c r="F166" s="120"/>
      <c r="G166" s="120"/>
      <c r="H166" s="120"/>
      <c r="I166" s="120"/>
      <c r="J166" s="120"/>
    </row>
    <row r="167" spans="1:10" s="113" customFormat="1">
      <c r="A167" s="28"/>
      <c r="F167" s="120"/>
      <c r="G167" s="120"/>
      <c r="H167" s="120"/>
      <c r="I167" s="120"/>
      <c r="J167" s="120"/>
    </row>
    <row r="168" spans="1:10" s="113" customFormat="1">
      <c r="A168" s="28"/>
      <c r="F168" s="120"/>
      <c r="G168" s="120"/>
      <c r="H168" s="120"/>
      <c r="I168" s="120"/>
      <c r="J168" s="120"/>
    </row>
    <row r="169" spans="1:10" s="113" customFormat="1">
      <c r="A169" s="28"/>
      <c r="F169" s="120"/>
      <c r="G169" s="120"/>
      <c r="H169" s="120"/>
      <c r="I169" s="120"/>
      <c r="J169" s="120"/>
    </row>
    <row r="170" spans="1:10" s="113" customFormat="1">
      <c r="A170" s="28"/>
      <c r="F170" s="120"/>
      <c r="G170" s="120"/>
      <c r="H170" s="120"/>
      <c r="I170" s="120"/>
      <c r="J170" s="120"/>
    </row>
    <row r="171" spans="1:10" s="113" customFormat="1">
      <c r="A171" s="28"/>
      <c r="F171" s="120"/>
      <c r="G171" s="120"/>
      <c r="H171" s="120"/>
      <c r="I171" s="120"/>
      <c r="J171" s="120"/>
    </row>
    <row r="172" spans="1:10" s="113" customFormat="1">
      <c r="A172" s="28"/>
      <c r="F172" s="120"/>
      <c r="G172" s="120"/>
      <c r="H172" s="120"/>
      <c r="I172" s="120"/>
      <c r="J172" s="120"/>
    </row>
    <row r="173" spans="1:10" s="113" customFormat="1">
      <c r="A173" s="28"/>
      <c r="F173" s="120"/>
      <c r="G173" s="120"/>
      <c r="H173" s="120"/>
      <c r="I173" s="120"/>
      <c r="J173" s="120"/>
    </row>
    <row r="174" spans="1:10" s="113" customFormat="1">
      <c r="A174" s="28"/>
      <c r="F174" s="120"/>
      <c r="G174" s="120"/>
      <c r="H174" s="120"/>
      <c r="I174" s="120"/>
      <c r="J174" s="120"/>
    </row>
    <row r="175" spans="1:10" s="113" customFormat="1">
      <c r="A175" s="28"/>
      <c r="F175" s="120"/>
      <c r="G175" s="120"/>
      <c r="H175" s="120"/>
      <c r="I175" s="120"/>
      <c r="J175" s="120"/>
    </row>
    <row r="176" spans="1:10" s="113" customFormat="1">
      <c r="A176" s="28"/>
      <c r="F176" s="120"/>
      <c r="G176" s="120"/>
      <c r="H176" s="120"/>
      <c r="I176" s="120"/>
      <c r="J176" s="120"/>
    </row>
    <row r="177" spans="1:10" s="113" customFormat="1">
      <c r="A177" s="28"/>
      <c r="F177" s="120"/>
      <c r="G177" s="120"/>
      <c r="H177" s="120"/>
      <c r="I177" s="120"/>
      <c r="J177" s="120"/>
    </row>
    <row r="178" spans="1:10" s="113" customFormat="1">
      <c r="A178" s="28"/>
      <c r="F178" s="120"/>
      <c r="G178" s="120"/>
      <c r="H178" s="120"/>
      <c r="I178" s="120"/>
      <c r="J178" s="120"/>
    </row>
    <row r="179" spans="1:10" s="113" customFormat="1">
      <c r="A179" s="28"/>
      <c r="F179" s="120"/>
      <c r="G179" s="120"/>
      <c r="H179" s="120"/>
      <c r="I179" s="120"/>
      <c r="J179" s="120"/>
    </row>
    <row r="180" spans="1:10" s="113" customFormat="1">
      <c r="A180" s="28"/>
      <c r="F180" s="120"/>
      <c r="G180" s="120"/>
      <c r="H180" s="120"/>
      <c r="I180" s="120"/>
      <c r="J180" s="120"/>
    </row>
    <row r="181" spans="1:10" s="113" customFormat="1">
      <c r="A181" s="28"/>
      <c r="F181" s="120"/>
      <c r="G181" s="120"/>
      <c r="H181" s="120"/>
      <c r="I181" s="120"/>
      <c r="J181" s="120"/>
    </row>
    <row r="182" spans="1:10" s="113" customFormat="1">
      <c r="A182" s="28"/>
      <c r="F182" s="120"/>
      <c r="G182" s="120"/>
      <c r="H182" s="120"/>
      <c r="I182" s="120"/>
      <c r="J182" s="120"/>
    </row>
    <row r="183" spans="1:10" s="113" customFormat="1">
      <c r="A183" s="28"/>
      <c r="F183" s="120"/>
      <c r="G183" s="120"/>
      <c r="H183" s="120"/>
      <c r="I183" s="120"/>
      <c r="J183" s="120"/>
    </row>
    <row r="184" spans="1:10" s="113" customFormat="1">
      <c r="A184" s="28"/>
      <c r="F184" s="120"/>
      <c r="G184" s="120"/>
      <c r="H184" s="120"/>
      <c r="I184" s="120"/>
      <c r="J184" s="120"/>
    </row>
    <row r="185" spans="1:10" s="113" customFormat="1">
      <c r="A185" s="28"/>
      <c r="F185" s="120"/>
      <c r="G185" s="120"/>
      <c r="H185" s="120"/>
      <c r="I185" s="120"/>
      <c r="J185" s="120"/>
    </row>
    <row r="186" spans="1:10" s="113" customFormat="1">
      <c r="A186" s="28"/>
      <c r="F186" s="120"/>
      <c r="G186" s="120"/>
      <c r="H186" s="120"/>
      <c r="I186" s="120"/>
      <c r="J186" s="120"/>
    </row>
    <row r="187" spans="1:10" s="113" customFormat="1">
      <c r="A187" s="28"/>
      <c r="F187" s="120"/>
      <c r="G187" s="120"/>
      <c r="H187" s="120"/>
      <c r="I187" s="120"/>
      <c r="J187" s="120"/>
    </row>
    <row r="188" spans="1:10" s="113" customFormat="1">
      <c r="A188" s="28"/>
      <c r="F188" s="120"/>
      <c r="G188" s="120"/>
      <c r="H188" s="120"/>
      <c r="I188" s="120"/>
      <c r="J188" s="120"/>
    </row>
    <row r="189" spans="1:10" s="113" customFormat="1">
      <c r="A189" s="28"/>
      <c r="F189" s="120"/>
      <c r="G189" s="120"/>
      <c r="H189" s="120"/>
      <c r="I189" s="120"/>
      <c r="J189" s="120"/>
    </row>
    <row r="190" spans="1:10" s="113" customFormat="1">
      <c r="A190" s="28"/>
      <c r="F190" s="120"/>
      <c r="G190" s="120"/>
      <c r="H190" s="120"/>
      <c r="I190" s="120"/>
      <c r="J190" s="120"/>
    </row>
    <row r="191" spans="1:10" s="113" customFormat="1">
      <c r="A191" s="28"/>
      <c r="F191" s="120"/>
      <c r="G191" s="120"/>
      <c r="H191" s="120"/>
      <c r="I191" s="120"/>
      <c r="J191" s="120"/>
    </row>
    <row r="192" spans="1:10" s="113" customFormat="1">
      <c r="A192" s="28"/>
      <c r="F192" s="120"/>
      <c r="G192" s="120"/>
      <c r="H192" s="120"/>
      <c r="I192" s="120"/>
      <c r="J192" s="120"/>
    </row>
    <row r="193" spans="1:10" s="113" customFormat="1">
      <c r="A193" s="28"/>
      <c r="F193" s="120"/>
      <c r="G193" s="120"/>
      <c r="H193" s="120"/>
      <c r="I193" s="120"/>
      <c r="J193" s="120"/>
    </row>
    <row r="194" spans="1:10" s="113" customFormat="1">
      <c r="A194" s="28"/>
      <c r="F194" s="120"/>
      <c r="G194" s="120"/>
      <c r="H194" s="120"/>
      <c r="I194" s="120"/>
      <c r="J194" s="120"/>
    </row>
    <row r="195" spans="1:10" s="113" customFormat="1">
      <c r="A195" s="28"/>
      <c r="F195" s="120"/>
      <c r="G195" s="120"/>
      <c r="H195" s="120"/>
      <c r="I195" s="120"/>
      <c r="J195" s="120"/>
    </row>
    <row r="196" spans="1:10" s="113" customFormat="1">
      <c r="A196" s="28"/>
      <c r="F196" s="120"/>
      <c r="G196" s="120"/>
      <c r="H196" s="120"/>
      <c r="I196" s="120"/>
      <c r="J196" s="120"/>
    </row>
    <row r="197" spans="1:10" s="113" customFormat="1">
      <c r="A197" s="28"/>
      <c r="F197" s="120"/>
      <c r="G197" s="120"/>
      <c r="H197" s="120"/>
      <c r="I197" s="120"/>
      <c r="J197" s="120"/>
    </row>
    <row r="198" spans="1:10" s="113" customFormat="1">
      <c r="A198" s="28"/>
      <c r="F198" s="120"/>
      <c r="G198" s="120"/>
      <c r="H198" s="120"/>
      <c r="I198" s="120"/>
      <c r="J198" s="120"/>
    </row>
    <row r="199" spans="1:10" s="113" customFormat="1">
      <c r="A199" s="28"/>
      <c r="F199" s="120"/>
      <c r="G199" s="120"/>
      <c r="H199" s="120"/>
      <c r="I199" s="120"/>
      <c r="J199" s="120"/>
    </row>
    <row r="200" spans="1:10" s="113" customFormat="1">
      <c r="A200" s="28"/>
      <c r="F200" s="120"/>
      <c r="G200" s="120"/>
      <c r="H200" s="120"/>
      <c r="I200" s="120"/>
      <c r="J200" s="120"/>
    </row>
    <row r="201" spans="1:10" s="113" customFormat="1">
      <c r="A201" s="28"/>
      <c r="F201" s="120"/>
      <c r="G201" s="120"/>
      <c r="H201" s="120"/>
      <c r="I201" s="120"/>
      <c r="J201" s="120"/>
    </row>
    <row r="202" spans="1:10" s="113" customFormat="1">
      <c r="A202" s="28"/>
      <c r="F202" s="120"/>
      <c r="G202" s="120"/>
      <c r="H202" s="120"/>
      <c r="I202" s="120"/>
      <c r="J202" s="120"/>
    </row>
    <row r="203" spans="1:10" s="113" customFormat="1">
      <c r="A203" s="28"/>
      <c r="F203" s="120"/>
      <c r="G203" s="120"/>
      <c r="H203" s="120"/>
      <c r="I203" s="120"/>
      <c r="J203" s="120"/>
    </row>
    <row r="204" spans="1:10" s="113" customFormat="1">
      <c r="A204" s="28"/>
      <c r="F204" s="120"/>
      <c r="G204" s="120"/>
      <c r="H204" s="120"/>
      <c r="I204" s="120"/>
      <c r="J204" s="120"/>
    </row>
    <row r="205" spans="1:10" s="113" customFormat="1">
      <c r="A205" s="28"/>
      <c r="F205" s="120"/>
      <c r="G205" s="120"/>
      <c r="H205" s="120"/>
      <c r="I205" s="120"/>
      <c r="J205" s="120"/>
    </row>
    <row r="206" spans="1:10" s="113" customFormat="1">
      <c r="A206" s="28"/>
      <c r="F206" s="120"/>
      <c r="G206" s="120"/>
      <c r="H206" s="120"/>
      <c r="I206" s="120"/>
      <c r="J206" s="120"/>
    </row>
    <row r="207" spans="1:10" s="113" customFormat="1">
      <c r="A207" s="28"/>
      <c r="F207" s="120"/>
      <c r="G207" s="120"/>
      <c r="H207" s="120"/>
      <c r="I207" s="120"/>
      <c r="J207" s="120"/>
    </row>
    <row r="208" spans="1:10" s="113" customFormat="1">
      <c r="A208" s="28"/>
      <c r="F208" s="120"/>
      <c r="G208" s="120"/>
      <c r="H208" s="120"/>
      <c r="I208" s="120"/>
      <c r="J208" s="120"/>
    </row>
    <row r="209" spans="1:10" s="113" customFormat="1">
      <c r="A209" s="28"/>
      <c r="F209" s="120"/>
      <c r="G209" s="120"/>
      <c r="H209" s="120"/>
      <c r="I209" s="120"/>
      <c r="J209" s="120"/>
    </row>
    <row r="210" spans="1:10" s="113" customFormat="1">
      <c r="A210" s="28"/>
      <c r="F210" s="120"/>
      <c r="G210" s="120"/>
      <c r="H210" s="120"/>
      <c r="I210" s="120"/>
      <c r="J210" s="120"/>
    </row>
    <row r="211" spans="1:10" s="113" customFormat="1">
      <c r="A211" s="28"/>
      <c r="F211" s="120"/>
      <c r="G211" s="120"/>
      <c r="H211" s="120"/>
      <c r="I211" s="120"/>
      <c r="J211" s="120"/>
    </row>
    <row r="212" spans="1:10" s="113" customFormat="1">
      <c r="A212" s="28"/>
      <c r="F212" s="120"/>
      <c r="G212" s="120"/>
      <c r="H212" s="120"/>
      <c r="I212" s="120"/>
      <c r="J212" s="120"/>
    </row>
    <row r="213" spans="1:10" s="113" customFormat="1">
      <c r="A213" s="28"/>
      <c r="F213" s="120"/>
      <c r="G213" s="120"/>
      <c r="H213" s="120"/>
      <c r="I213" s="120"/>
      <c r="J213" s="120"/>
    </row>
    <row r="214" spans="1:10" s="113" customFormat="1">
      <c r="A214" s="28"/>
      <c r="F214" s="120"/>
      <c r="G214" s="120"/>
      <c r="H214" s="120"/>
      <c r="I214" s="120"/>
      <c r="J214" s="120"/>
    </row>
    <row r="215" spans="1:10" s="113" customFormat="1">
      <c r="A215" s="28"/>
      <c r="F215" s="120"/>
      <c r="G215" s="120"/>
      <c r="H215" s="120"/>
      <c r="I215" s="120"/>
      <c r="J215" s="120"/>
    </row>
    <row r="216" spans="1:10" s="113" customFormat="1">
      <c r="A216" s="28"/>
      <c r="F216" s="120"/>
      <c r="G216" s="120"/>
      <c r="H216" s="120"/>
      <c r="I216" s="120"/>
      <c r="J216" s="120"/>
    </row>
    <row r="217" spans="1:10" s="113" customFormat="1">
      <c r="A217" s="28"/>
      <c r="F217" s="120"/>
      <c r="G217" s="120"/>
      <c r="H217" s="120"/>
      <c r="I217" s="120"/>
      <c r="J217" s="120"/>
    </row>
    <row r="218" spans="1:10" s="113" customFormat="1">
      <c r="A218" s="28"/>
      <c r="F218" s="120"/>
      <c r="G218" s="120"/>
      <c r="H218" s="120"/>
      <c r="I218" s="120"/>
      <c r="J218" s="120"/>
    </row>
    <row r="219" spans="1:10" s="113" customFormat="1">
      <c r="A219" s="28"/>
      <c r="F219" s="120"/>
      <c r="G219" s="120"/>
      <c r="H219" s="120"/>
      <c r="I219" s="120"/>
      <c r="J219" s="120"/>
    </row>
    <row r="220" spans="1:10" s="113" customFormat="1">
      <c r="A220" s="28"/>
      <c r="F220" s="120"/>
      <c r="G220" s="120"/>
      <c r="H220" s="120"/>
      <c r="I220" s="120"/>
      <c r="J220" s="120"/>
    </row>
    <row r="221" spans="1:10" s="113" customFormat="1">
      <c r="A221" s="28"/>
      <c r="F221" s="120"/>
      <c r="G221" s="120"/>
      <c r="H221" s="120"/>
      <c r="I221" s="120"/>
      <c r="J221" s="120"/>
    </row>
    <row r="222" spans="1:10" s="113" customFormat="1">
      <c r="A222" s="28"/>
      <c r="F222" s="120"/>
      <c r="G222" s="120"/>
      <c r="H222" s="120"/>
      <c r="I222" s="120"/>
      <c r="J222" s="120"/>
    </row>
    <row r="223" spans="1:10" s="113" customFormat="1">
      <c r="A223" s="28"/>
      <c r="F223" s="120"/>
      <c r="G223" s="120"/>
      <c r="H223" s="120"/>
      <c r="I223" s="120"/>
      <c r="J223" s="120"/>
    </row>
    <row r="224" spans="1:10" s="113" customFormat="1">
      <c r="A224" s="28"/>
      <c r="F224" s="120"/>
      <c r="G224" s="120"/>
      <c r="H224" s="120"/>
      <c r="I224" s="120"/>
      <c r="J224" s="120"/>
    </row>
    <row r="225" spans="1:10" s="113" customFormat="1">
      <c r="A225" s="28"/>
      <c r="F225" s="120"/>
      <c r="G225" s="120"/>
      <c r="H225" s="120"/>
      <c r="I225" s="120"/>
      <c r="J225" s="120"/>
    </row>
    <row r="226" spans="1:10" s="113" customFormat="1">
      <c r="A226" s="28"/>
      <c r="F226" s="120"/>
      <c r="G226" s="120"/>
      <c r="H226" s="120"/>
      <c r="I226" s="120"/>
      <c r="J226" s="120"/>
    </row>
    <row r="227" spans="1:10" s="113" customFormat="1">
      <c r="A227" s="28"/>
      <c r="F227" s="120"/>
      <c r="G227" s="120"/>
      <c r="H227" s="120"/>
      <c r="I227" s="120"/>
      <c r="J227" s="120"/>
    </row>
    <row r="228" spans="1:10" s="113" customFormat="1">
      <c r="A228" s="28"/>
      <c r="F228" s="120"/>
      <c r="G228" s="120"/>
      <c r="H228" s="120"/>
      <c r="I228" s="120"/>
      <c r="J228" s="120"/>
    </row>
    <row r="229" spans="1:10" s="113" customFormat="1">
      <c r="A229" s="28"/>
      <c r="F229" s="120"/>
      <c r="G229" s="120"/>
      <c r="H229" s="120"/>
      <c r="I229" s="120"/>
      <c r="J229" s="120"/>
    </row>
    <row r="230" spans="1:10" s="113" customFormat="1">
      <c r="A230" s="28"/>
      <c r="F230" s="120"/>
      <c r="G230" s="120"/>
      <c r="H230" s="120"/>
      <c r="I230" s="120"/>
      <c r="J230" s="120"/>
    </row>
    <row r="231" spans="1:10" s="113" customFormat="1">
      <c r="A231" s="28"/>
      <c r="F231" s="120"/>
      <c r="G231" s="120"/>
      <c r="H231" s="120"/>
      <c r="I231" s="120"/>
      <c r="J231" s="120"/>
    </row>
    <row r="232" spans="1:10" s="113" customFormat="1">
      <c r="A232" s="28"/>
      <c r="F232" s="120"/>
      <c r="G232" s="120"/>
      <c r="H232" s="120"/>
      <c r="I232" s="120"/>
      <c r="J232" s="120"/>
    </row>
    <row r="233" spans="1:10" s="113" customFormat="1">
      <c r="A233" s="28"/>
      <c r="F233" s="120"/>
      <c r="G233" s="120"/>
      <c r="H233" s="120"/>
      <c r="I233" s="120"/>
      <c r="J233" s="120"/>
    </row>
    <row r="234" spans="1:10" s="113" customFormat="1">
      <c r="A234" s="28"/>
      <c r="F234" s="120"/>
      <c r="G234" s="120"/>
      <c r="H234" s="120"/>
      <c r="I234" s="120"/>
      <c r="J234" s="120"/>
    </row>
    <row r="235" spans="1:10" s="113" customFormat="1">
      <c r="A235" s="28"/>
      <c r="F235" s="120"/>
      <c r="G235" s="120"/>
      <c r="H235" s="120"/>
      <c r="I235" s="120"/>
      <c r="J235" s="120"/>
    </row>
    <row r="236" spans="1:10" s="113" customFormat="1">
      <c r="A236" s="28"/>
      <c r="F236" s="120"/>
      <c r="G236" s="120"/>
      <c r="H236" s="120"/>
      <c r="I236" s="120"/>
      <c r="J236" s="120"/>
    </row>
    <row r="237" spans="1:10" s="113" customFormat="1">
      <c r="A237" s="28"/>
      <c r="F237" s="120"/>
      <c r="G237" s="120"/>
      <c r="H237" s="120"/>
      <c r="I237" s="120"/>
      <c r="J237" s="120"/>
    </row>
    <row r="238" spans="1:10" s="113" customFormat="1">
      <c r="A238" s="28"/>
      <c r="F238" s="120"/>
      <c r="G238" s="120"/>
      <c r="H238" s="120"/>
      <c r="I238" s="120"/>
      <c r="J238" s="120"/>
    </row>
    <row r="239" spans="1:10" s="113" customFormat="1">
      <c r="A239" s="28"/>
      <c r="F239" s="120"/>
      <c r="G239" s="120"/>
      <c r="H239" s="120"/>
      <c r="I239" s="120"/>
      <c r="J239" s="120"/>
    </row>
    <row r="240" spans="1:10" s="113" customFormat="1">
      <c r="A240" s="28"/>
      <c r="F240" s="120"/>
      <c r="G240" s="120"/>
      <c r="H240" s="120"/>
      <c r="I240" s="120"/>
      <c r="J240" s="120"/>
    </row>
    <row r="241" spans="1:10" s="113" customFormat="1">
      <c r="A241" s="28"/>
      <c r="F241" s="120"/>
      <c r="G241" s="120"/>
      <c r="H241" s="120"/>
      <c r="I241" s="120"/>
      <c r="J241" s="120"/>
    </row>
    <row r="242" spans="1:10" s="113" customFormat="1">
      <c r="A242" s="28"/>
      <c r="F242" s="120"/>
      <c r="G242" s="120"/>
      <c r="H242" s="120"/>
      <c r="I242" s="120"/>
      <c r="J242" s="120"/>
    </row>
    <row r="243" spans="1:10" s="113" customFormat="1">
      <c r="A243" s="28"/>
      <c r="F243" s="120"/>
      <c r="G243" s="120"/>
      <c r="H243" s="120"/>
      <c r="I243" s="120"/>
      <c r="J243" s="120"/>
    </row>
    <row r="244" spans="1:10" s="113" customFormat="1">
      <c r="A244" s="28"/>
      <c r="F244" s="120"/>
      <c r="G244" s="120"/>
      <c r="H244" s="120"/>
      <c r="I244" s="120"/>
      <c r="J244" s="120"/>
    </row>
    <row r="245" spans="1:10" s="113" customFormat="1">
      <c r="A245" s="28"/>
      <c r="F245" s="120"/>
      <c r="G245" s="120"/>
      <c r="H245" s="120"/>
      <c r="I245" s="120"/>
      <c r="J245" s="120"/>
    </row>
    <row r="246" spans="1:10" s="113" customFormat="1">
      <c r="A246" s="28"/>
      <c r="F246" s="120"/>
      <c r="G246" s="120"/>
      <c r="H246" s="120"/>
      <c r="I246" s="120"/>
      <c r="J246" s="120"/>
    </row>
    <row r="247" spans="1:10" s="113" customFormat="1">
      <c r="A247" s="28"/>
      <c r="F247" s="120"/>
      <c r="G247" s="120"/>
      <c r="H247" s="120"/>
      <c r="I247" s="120"/>
      <c r="J247" s="120"/>
    </row>
    <row r="248" spans="1:10" s="113" customFormat="1">
      <c r="A248" s="28"/>
      <c r="F248" s="120"/>
      <c r="G248" s="120"/>
      <c r="H248" s="120"/>
      <c r="I248" s="120"/>
      <c r="J248" s="120"/>
    </row>
    <row r="249" spans="1:10" s="113" customFormat="1">
      <c r="A249" s="28"/>
      <c r="F249" s="120"/>
      <c r="G249" s="120"/>
      <c r="H249" s="120"/>
      <c r="I249" s="120"/>
      <c r="J249" s="120"/>
    </row>
    <row r="250" spans="1:10" s="113" customFormat="1">
      <c r="A250" s="28"/>
      <c r="F250" s="120"/>
      <c r="G250" s="120"/>
      <c r="H250" s="120"/>
      <c r="I250" s="120"/>
      <c r="J250" s="120"/>
    </row>
    <row r="251" spans="1:10" s="113" customFormat="1">
      <c r="A251" s="28"/>
      <c r="F251" s="120"/>
      <c r="G251" s="120"/>
      <c r="H251" s="120"/>
      <c r="I251" s="120"/>
      <c r="J251" s="120"/>
    </row>
    <row r="252" spans="1:10" s="113" customFormat="1">
      <c r="A252" s="28"/>
      <c r="F252" s="120"/>
      <c r="G252" s="120"/>
      <c r="H252" s="120"/>
      <c r="I252" s="120"/>
      <c r="J252" s="120"/>
    </row>
    <row r="253" spans="1:10" s="113" customFormat="1">
      <c r="A253" s="28"/>
      <c r="F253" s="120"/>
      <c r="G253" s="120"/>
      <c r="H253" s="120"/>
      <c r="I253" s="120"/>
      <c r="J253" s="120"/>
    </row>
    <row r="254" spans="1:10" s="113" customFormat="1">
      <c r="A254" s="28"/>
      <c r="F254" s="120"/>
      <c r="G254" s="120"/>
      <c r="H254" s="120"/>
      <c r="I254" s="120"/>
      <c r="J254" s="120"/>
    </row>
    <row r="255" spans="1:10" s="113" customFormat="1">
      <c r="A255" s="28"/>
      <c r="F255" s="120"/>
      <c r="G255" s="120"/>
      <c r="H255" s="120"/>
      <c r="I255" s="120"/>
      <c r="J255" s="120"/>
    </row>
    <row r="256" spans="1:10" s="113" customFormat="1">
      <c r="A256" s="28"/>
      <c r="F256" s="120"/>
      <c r="G256" s="120"/>
      <c r="H256" s="120"/>
      <c r="I256" s="120"/>
      <c r="J256" s="120"/>
    </row>
    <row r="257" spans="1:10" s="113" customFormat="1">
      <c r="A257" s="28"/>
      <c r="F257" s="120"/>
      <c r="G257" s="120"/>
      <c r="H257" s="120"/>
      <c r="I257" s="120"/>
      <c r="J257" s="120"/>
    </row>
    <row r="258" spans="1:10" s="113" customFormat="1">
      <c r="A258" s="28"/>
      <c r="F258" s="120"/>
      <c r="G258" s="120"/>
      <c r="H258" s="120"/>
      <c r="I258" s="120"/>
      <c r="J258" s="120"/>
    </row>
    <row r="259" spans="1:10" s="113" customFormat="1">
      <c r="A259" s="28"/>
      <c r="F259" s="120"/>
      <c r="G259" s="120"/>
      <c r="H259" s="120"/>
      <c r="I259" s="120"/>
      <c r="J259" s="120"/>
    </row>
    <row r="260" spans="1:10" s="113" customFormat="1">
      <c r="A260" s="28"/>
      <c r="F260" s="120"/>
      <c r="G260" s="120"/>
      <c r="H260" s="120"/>
      <c r="I260" s="120"/>
      <c r="J260" s="120"/>
    </row>
    <row r="261" spans="1:10" s="113" customFormat="1">
      <c r="A261" s="28"/>
      <c r="F261" s="120"/>
      <c r="G261" s="120"/>
      <c r="H261" s="120"/>
      <c r="I261" s="120"/>
      <c r="J261" s="120"/>
    </row>
    <row r="262" spans="1:10" s="113" customFormat="1">
      <c r="A262" s="28"/>
      <c r="F262" s="120"/>
      <c r="G262" s="120"/>
      <c r="H262" s="120"/>
      <c r="I262" s="120"/>
      <c r="J262" s="120"/>
    </row>
    <row r="263" spans="1:10" s="113" customFormat="1">
      <c r="A263" s="28"/>
      <c r="F263" s="120"/>
      <c r="G263" s="120"/>
      <c r="H263" s="120"/>
      <c r="I263" s="120"/>
      <c r="J263" s="120"/>
    </row>
    <row r="264" spans="1:10" s="113" customFormat="1">
      <c r="A264" s="28"/>
      <c r="F264" s="120"/>
      <c r="G264" s="120"/>
      <c r="H264" s="120"/>
      <c r="I264" s="120"/>
      <c r="J264" s="120"/>
    </row>
    <row r="265" spans="1:10" s="113" customFormat="1">
      <c r="A265" s="28"/>
      <c r="F265" s="120"/>
      <c r="G265" s="120"/>
      <c r="H265" s="120"/>
      <c r="I265" s="120"/>
      <c r="J265" s="120"/>
    </row>
    <row r="266" spans="1:10" s="113" customFormat="1">
      <c r="A266" s="28"/>
      <c r="F266" s="120"/>
      <c r="G266" s="120"/>
      <c r="H266" s="120"/>
      <c r="I266" s="120"/>
      <c r="J266" s="120"/>
    </row>
    <row r="267" spans="1:10" s="113" customFormat="1">
      <c r="A267" s="28"/>
      <c r="F267" s="120"/>
      <c r="G267" s="120"/>
      <c r="H267" s="120"/>
      <c r="I267" s="120"/>
      <c r="J267" s="120"/>
    </row>
    <row r="268" spans="1:10" s="113" customFormat="1">
      <c r="A268" s="28"/>
      <c r="F268" s="120"/>
      <c r="G268" s="120"/>
      <c r="H268" s="120"/>
      <c r="I268" s="120"/>
      <c r="J268" s="120"/>
    </row>
    <row r="269" spans="1:10" s="113" customFormat="1">
      <c r="A269" s="28"/>
      <c r="F269" s="120"/>
      <c r="G269" s="120"/>
      <c r="H269" s="120"/>
      <c r="I269" s="120"/>
      <c r="J269" s="120"/>
    </row>
    <row r="270" spans="1:10" s="113" customFormat="1">
      <c r="A270" s="28"/>
      <c r="F270" s="120"/>
      <c r="G270" s="120"/>
      <c r="H270" s="120"/>
      <c r="I270" s="120"/>
      <c r="J270" s="120"/>
    </row>
    <row r="271" spans="1:10" s="113" customFormat="1">
      <c r="A271" s="28"/>
      <c r="F271" s="120"/>
      <c r="G271" s="120"/>
      <c r="H271" s="120"/>
      <c r="I271" s="120"/>
      <c r="J271" s="120"/>
    </row>
    <row r="272" spans="1:10" s="113" customFormat="1">
      <c r="A272" s="28"/>
      <c r="F272" s="120"/>
      <c r="G272" s="120"/>
      <c r="H272" s="120"/>
      <c r="I272" s="120"/>
      <c r="J272" s="120"/>
    </row>
    <row r="273" spans="1:10" s="113" customFormat="1">
      <c r="A273" s="28"/>
      <c r="F273" s="120"/>
      <c r="G273" s="120"/>
      <c r="H273" s="120"/>
      <c r="I273" s="120"/>
      <c r="J273" s="120"/>
    </row>
    <row r="274" spans="1:10" s="113" customFormat="1">
      <c r="A274" s="28"/>
      <c r="F274" s="120"/>
      <c r="G274" s="120"/>
      <c r="H274" s="120"/>
      <c r="I274" s="120"/>
      <c r="J274" s="120"/>
    </row>
    <row r="275" spans="1:10" s="113" customFormat="1">
      <c r="A275" s="28"/>
      <c r="F275" s="120"/>
      <c r="G275" s="120"/>
      <c r="H275" s="120"/>
      <c r="I275" s="120"/>
      <c r="J275" s="120"/>
    </row>
    <row r="276" spans="1:10" s="113" customFormat="1">
      <c r="A276" s="28"/>
      <c r="F276" s="120"/>
      <c r="G276" s="120"/>
      <c r="H276" s="120"/>
      <c r="I276" s="120"/>
      <c r="J276" s="120"/>
    </row>
    <row r="277" spans="1:10" s="113" customFormat="1">
      <c r="A277" s="28"/>
      <c r="F277" s="120"/>
      <c r="G277" s="120"/>
      <c r="H277" s="120"/>
      <c r="I277" s="120"/>
      <c r="J277" s="120"/>
    </row>
    <row r="278" spans="1:10" s="113" customFormat="1">
      <c r="A278" s="28"/>
      <c r="F278" s="120"/>
      <c r="G278" s="120"/>
      <c r="H278" s="120"/>
      <c r="I278" s="120"/>
      <c r="J278" s="120"/>
    </row>
    <row r="279" spans="1:10" s="113" customFormat="1">
      <c r="A279" s="28"/>
      <c r="F279" s="120"/>
      <c r="G279" s="120"/>
      <c r="H279" s="120"/>
      <c r="I279" s="120"/>
      <c r="J279" s="120"/>
    </row>
    <row r="280" spans="1:10" s="113" customFormat="1">
      <c r="A280" s="28"/>
      <c r="F280" s="120"/>
      <c r="G280" s="120"/>
      <c r="H280" s="120"/>
      <c r="I280" s="120"/>
      <c r="J280" s="120"/>
    </row>
    <row r="281" spans="1:10" s="113" customFormat="1">
      <c r="A281" s="28"/>
      <c r="F281" s="120"/>
      <c r="G281" s="120"/>
      <c r="H281" s="120"/>
      <c r="I281" s="120"/>
      <c r="J281" s="120"/>
    </row>
    <row r="282" spans="1:10" s="113" customFormat="1">
      <c r="A282" s="28"/>
      <c r="F282" s="120"/>
      <c r="G282" s="120"/>
      <c r="H282" s="120"/>
      <c r="I282" s="120"/>
      <c r="J282" s="120"/>
    </row>
    <row r="283" spans="1:10" s="113" customFormat="1">
      <c r="A283" s="28"/>
      <c r="F283" s="120"/>
      <c r="G283" s="120"/>
      <c r="H283" s="120"/>
      <c r="I283" s="120"/>
      <c r="J283" s="120"/>
    </row>
    <row r="284" spans="1:10" s="113" customFormat="1">
      <c r="A284" s="28"/>
      <c r="F284" s="120"/>
      <c r="G284" s="120"/>
      <c r="H284" s="120"/>
      <c r="I284" s="120"/>
      <c r="J284" s="120"/>
    </row>
    <row r="285" spans="1:10" s="113" customFormat="1">
      <c r="A285" s="28"/>
      <c r="F285" s="120"/>
      <c r="G285" s="120"/>
      <c r="H285" s="120"/>
      <c r="I285" s="120"/>
      <c r="J285" s="120"/>
    </row>
    <row r="286" spans="1:10" s="113" customFormat="1">
      <c r="A286" s="28"/>
      <c r="F286" s="120"/>
      <c r="G286" s="120"/>
      <c r="H286" s="120"/>
      <c r="I286" s="120"/>
      <c r="J286" s="120"/>
    </row>
    <row r="287" spans="1:10" s="113" customFormat="1">
      <c r="A287" s="28"/>
      <c r="F287" s="120"/>
      <c r="G287" s="120"/>
      <c r="H287" s="120"/>
      <c r="I287" s="120"/>
      <c r="J287" s="120"/>
    </row>
    <row r="288" spans="1:10" s="113" customFormat="1">
      <c r="A288" s="28"/>
      <c r="F288" s="120"/>
      <c r="G288" s="120"/>
      <c r="H288" s="120"/>
      <c r="I288" s="120"/>
      <c r="J288" s="120"/>
    </row>
    <row r="289" spans="1:10" s="113" customFormat="1">
      <c r="A289" s="28"/>
      <c r="F289" s="120"/>
      <c r="G289" s="120"/>
      <c r="H289" s="120"/>
      <c r="I289" s="120"/>
      <c r="J289" s="120"/>
    </row>
    <row r="290" spans="1:10" s="113" customFormat="1">
      <c r="A290" s="28"/>
      <c r="F290" s="120"/>
      <c r="G290" s="120"/>
      <c r="H290" s="120"/>
      <c r="I290" s="120"/>
      <c r="J290" s="120"/>
    </row>
    <row r="291" spans="1:10" s="113" customFormat="1">
      <c r="A291" s="28"/>
      <c r="F291" s="120"/>
      <c r="G291" s="120"/>
      <c r="H291" s="120"/>
      <c r="I291" s="120"/>
      <c r="J291" s="120"/>
    </row>
    <row r="292" spans="1:10" s="113" customFormat="1">
      <c r="A292" s="28"/>
      <c r="F292" s="120"/>
      <c r="G292" s="120"/>
      <c r="H292" s="120"/>
      <c r="I292" s="120"/>
      <c r="J292" s="120"/>
    </row>
    <row r="293" spans="1:10" s="113" customFormat="1">
      <c r="A293" s="28"/>
      <c r="F293" s="120"/>
      <c r="G293" s="120"/>
      <c r="H293" s="120"/>
      <c r="I293" s="120"/>
      <c r="J293" s="120"/>
    </row>
    <row r="294" spans="1:10" s="113" customFormat="1">
      <c r="A294" s="28"/>
      <c r="F294" s="120"/>
      <c r="G294" s="120"/>
      <c r="H294" s="120"/>
      <c r="I294" s="120"/>
      <c r="J294" s="120"/>
    </row>
    <row r="295" spans="1:10" s="113" customFormat="1">
      <c r="A295" s="28"/>
      <c r="F295" s="120"/>
      <c r="G295" s="120"/>
      <c r="H295" s="120"/>
      <c r="I295" s="120"/>
      <c r="J295" s="120"/>
    </row>
    <row r="296" spans="1:10" s="113" customFormat="1">
      <c r="A296" s="28"/>
      <c r="F296" s="120"/>
      <c r="G296" s="120"/>
      <c r="H296" s="120"/>
      <c r="I296" s="120"/>
      <c r="J296" s="120"/>
    </row>
  </sheetData>
  <mergeCells count="66">
    <mergeCell ref="C145:F145"/>
    <mergeCell ref="H145:J145"/>
    <mergeCell ref="C144:F144"/>
    <mergeCell ref="H144:J144"/>
    <mergeCell ref="A101:J101"/>
    <mergeCell ref="A130:J130"/>
    <mergeCell ref="A107:J107"/>
    <mergeCell ref="A121:J121"/>
    <mergeCell ref="G1:J1"/>
    <mergeCell ref="G9:J9"/>
    <mergeCell ref="A23:B23"/>
    <mergeCell ref="A21:B21"/>
    <mergeCell ref="A13:B13"/>
    <mergeCell ref="G2:J2"/>
    <mergeCell ref="G4:J4"/>
    <mergeCell ref="G10:J10"/>
    <mergeCell ref="G12:J12"/>
    <mergeCell ref="G14:J14"/>
    <mergeCell ref="A3:B3"/>
    <mergeCell ref="A11:B11"/>
    <mergeCell ref="G3:J3"/>
    <mergeCell ref="G5:H5"/>
    <mergeCell ref="A8:B8"/>
    <mergeCell ref="G8:J8"/>
    <mergeCell ref="A77:J77"/>
    <mergeCell ref="E49:E50"/>
    <mergeCell ref="D49:D50"/>
    <mergeCell ref="A99:J99"/>
    <mergeCell ref="A91:J91"/>
    <mergeCell ref="A49:A50"/>
    <mergeCell ref="B49:B50"/>
    <mergeCell ref="F49:F50"/>
    <mergeCell ref="A52:J52"/>
    <mergeCell ref="G49:J49"/>
    <mergeCell ref="B40:F40"/>
    <mergeCell ref="B41:F41"/>
    <mergeCell ref="C49:C50"/>
    <mergeCell ref="A12:B12"/>
    <mergeCell ref="A15:B15"/>
    <mergeCell ref="A16:B16"/>
    <mergeCell ref="A18:B18"/>
    <mergeCell ref="A20:B20"/>
    <mergeCell ref="A46:J46"/>
    <mergeCell ref="A44:J44"/>
    <mergeCell ref="G38:I38"/>
    <mergeCell ref="G39:I39"/>
    <mergeCell ref="B42:F42"/>
    <mergeCell ref="B43:F43"/>
    <mergeCell ref="B38:F38"/>
    <mergeCell ref="B39:F39"/>
    <mergeCell ref="G15:J15"/>
    <mergeCell ref="B36:F36"/>
    <mergeCell ref="B37:F37"/>
    <mergeCell ref="G18:J18"/>
    <mergeCell ref="G27:J27"/>
    <mergeCell ref="B32:F32"/>
    <mergeCell ref="B31:F31"/>
    <mergeCell ref="B34:F34"/>
    <mergeCell ref="B35:F35"/>
    <mergeCell ref="G37:H37"/>
    <mergeCell ref="G36:H36"/>
    <mergeCell ref="G22:J22"/>
    <mergeCell ref="G24:J24"/>
    <mergeCell ref="G25:J25"/>
    <mergeCell ref="B33:F33"/>
    <mergeCell ref="A25:B25"/>
  </mergeCells>
  <phoneticPr fontId="7" type="noConversion"/>
  <pageMargins left="0.59055118110236227" right="0.39370078740157483" top="0.78740157480314965" bottom="0.59055118110236227" header="0.39370078740157483" footer="0.19685039370078741"/>
  <pageSetup paperSize="9" scale="60" orientation="landscape" r:id="rId1"/>
  <headerFooter alignWithMargins="0">
    <oddHeader>&amp;C&amp;"Times New Roman,обычный"&amp;14
&amp;P&amp;R&amp;"Times New Roman,обычный"&amp;14 
Продовження додатка 1</oddHeader>
  </headerFooter>
  <rowBreaks count="2" manualBreakCount="2">
    <brk id="43" max="9" man="1"/>
    <brk id="81" max="9" man="1"/>
  </rowBreaks>
  <ignoredErrors>
    <ignoredError sqref="B122:B129 B131:B136" numberStoredAsText="1"/>
    <ignoredError sqref="F102:J102 D103 D104:F105 D106:E106 C140:F141 C102:D102 C62:F62 F103 C61:E61 C136:F136"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L381"/>
  <sheetViews>
    <sheetView zoomScale="85" zoomScaleNormal="85" workbookViewId="0">
      <pane xSplit="1" ySplit="6" topLeftCell="B7" activePane="bottomRight" state="frozen"/>
      <selection pane="topRight" activeCell="B1" sqref="B1"/>
      <selection pane="bottomLeft" activeCell="A7" sqref="A7"/>
      <selection pane="bottomRight" activeCell="H161" sqref="H161"/>
    </sheetView>
  </sheetViews>
  <sheetFormatPr defaultRowHeight="18.75"/>
  <cols>
    <col min="1" max="1" width="86.7109375" style="120" customWidth="1"/>
    <col min="2" max="2" width="14.85546875" style="113" customWidth="1"/>
    <col min="3" max="4" width="16.28515625" style="113" customWidth="1"/>
    <col min="5" max="5" width="16.7109375" style="113" customWidth="1"/>
    <col min="6" max="10" width="16.28515625" style="120" customWidth="1"/>
    <col min="11" max="11" width="69.28515625" style="120" customWidth="1"/>
    <col min="12" max="12" width="12.7109375" style="120" bestFit="1" customWidth="1"/>
    <col min="13" max="16384" width="9.140625" style="120"/>
  </cols>
  <sheetData>
    <row r="1" spans="1:12">
      <c r="A1" s="366" t="s">
        <v>214</v>
      </c>
      <c r="B1" s="366"/>
      <c r="C1" s="366"/>
      <c r="D1" s="366"/>
      <c r="E1" s="366"/>
      <c r="F1" s="366"/>
      <c r="G1" s="366"/>
      <c r="H1" s="366"/>
      <c r="I1" s="366"/>
      <c r="J1" s="366"/>
      <c r="K1" s="366"/>
    </row>
    <row r="2" spans="1:12" ht="66" customHeight="1">
      <c r="A2" s="167"/>
      <c r="B2" s="29"/>
      <c r="C2" s="168"/>
      <c r="D2" s="168"/>
      <c r="E2" s="168"/>
      <c r="F2" s="167"/>
      <c r="G2" s="167"/>
      <c r="H2" s="167"/>
      <c r="I2" s="169"/>
      <c r="J2" s="167"/>
    </row>
    <row r="3" spans="1:12" ht="36" customHeight="1">
      <c r="A3" s="351" t="s">
        <v>209</v>
      </c>
      <c r="B3" s="352" t="s">
        <v>18</v>
      </c>
      <c r="C3" s="352" t="s">
        <v>513</v>
      </c>
      <c r="D3" s="352" t="s">
        <v>596</v>
      </c>
      <c r="E3" s="352" t="s">
        <v>805</v>
      </c>
      <c r="F3" s="352" t="s">
        <v>595</v>
      </c>
      <c r="G3" s="352" t="s">
        <v>161</v>
      </c>
      <c r="H3" s="352"/>
      <c r="I3" s="352"/>
      <c r="J3" s="352"/>
      <c r="K3" s="352" t="s">
        <v>193</v>
      </c>
    </row>
    <row r="4" spans="1:12" ht="61.5" customHeight="1">
      <c r="A4" s="351"/>
      <c r="B4" s="352"/>
      <c r="C4" s="352"/>
      <c r="D4" s="352"/>
      <c r="E4" s="352"/>
      <c r="F4" s="352"/>
      <c r="G4" s="99" t="s">
        <v>162</v>
      </c>
      <c r="H4" s="99" t="s">
        <v>163</v>
      </c>
      <c r="I4" s="99" t="s">
        <v>164</v>
      </c>
      <c r="J4" s="99" t="s">
        <v>71</v>
      </c>
      <c r="K4" s="352"/>
    </row>
    <row r="5" spans="1:12" ht="18" customHeight="1">
      <c r="A5" s="126">
        <v>1</v>
      </c>
      <c r="B5" s="129">
        <v>2</v>
      </c>
      <c r="C5" s="129">
        <v>3</v>
      </c>
      <c r="D5" s="129">
        <v>4</v>
      </c>
      <c r="E5" s="129">
        <v>5</v>
      </c>
      <c r="F5" s="129">
        <v>6</v>
      </c>
      <c r="G5" s="129">
        <v>7</v>
      </c>
      <c r="H5" s="129">
        <v>8</v>
      </c>
      <c r="I5" s="129">
        <v>9</v>
      </c>
      <c r="J5" s="129">
        <v>10</v>
      </c>
      <c r="K5" s="129">
        <v>11</v>
      </c>
    </row>
    <row r="6" spans="1:12" s="4" customFormat="1" ht="20.100000000000001" customHeight="1">
      <c r="A6" s="362" t="s">
        <v>213</v>
      </c>
      <c r="B6" s="362"/>
      <c r="C6" s="362"/>
      <c r="D6" s="362"/>
      <c r="E6" s="362"/>
      <c r="F6" s="362"/>
      <c r="G6" s="362"/>
      <c r="H6" s="362"/>
      <c r="I6" s="362"/>
      <c r="J6" s="362"/>
      <c r="K6" s="362"/>
      <c r="L6" s="120"/>
    </row>
    <row r="7" spans="1:12" s="4" customFormat="1" ht="27" customHeight="1">
      <c r="A7" s="143" t="s">
        <v>174</v>
      </c>
      <c r="B7" s="144">
        <v>1000</v>
      </c>
      <c r="C7" s="72">
        <v>762</v>
      </c>
      <c r="D7" s="72">
        <v>482</v>
      </c>
      <c r="E7" s="72">
        <v>640</v>
      </c>
      <c r="F7" s="72">
        <f t="shared" ref="F7:F18" si="0">SUM(G7:J7)</f>
        <v>498</v>
      </c>
      <c r="G7" s="72">
        <v>95</v>
      </c>
      <c r="H7" s="72">
        <v>185</v>
      </c>
      <c r="I7" s="72">
        <v>109</v>
      </c>
      <c r="J7" s="72">
        <v>109</v>
      </c>
      <c r="K7" s="170"/>
      <c r="L7" s="120"/>
    </row>
    <row r="8" spans="1:12" ht="18.75" customHeight="1">
      <c r="A8" s="143" t="s">
        <v>153</v>
      </c>
      <c r="B8" s="144">
        <v>1010</v>
      </c>
      <c r="C8" s="72">
        <f>SUM(C9:C16)</f>
        <v>-136230</v>
      </c>
      <c r="D8" s="72">
        <f>SUM(D9:D16)</f>
        <v>-148930</v>
      </c>
      <c r="E8" s="72">
        <f>SUM(E9:E16)</f>
        <v>-119299</v>
      </c>
      <c r="F8" s="72">
        <f t="shared" si="0"/>
        <v>-149771</v>
      </c>
      <c r="G8" s="72">
        <f>SUM(G9:G16)</f>
        <v>-36129</v>
      </c>
      <c r="H8" s="72">
        <f>SUM(H9:H16)</f>
        <v>-36689</v>
      </c>
      <c r="I8" s="72">
        <f>SUM(I9:I16)</f>
        <v>-43489</v>
      </c>
      <c r="J8" s="72">
        <f>SUM(J9:J16)</f>
        <v>-33464</v>
      </c>
      <c r="K8" s="171"/>
    </row>
    <row r="9" spans="1:12" s="81" customFormat="1" ht="100.5" customHeight="1">
      <c r="A9" s="143" t="s">
        <v>385</v>
      </c>
      <c r="B9" s="129">
        <v>1011</v>
      </c>
      <c r="C9" s="72">
        <v>-2966.5</v>
      </c>
      <c r="D9" s="72">
        <v>-8077</v>
      </c>
      <c r="E9" s="72">
        <v>-3081</v>
      </c>
      <c r="F9" s="72">
        <f t="shared" si="0"/>
        <v>-7070</v>
      </c>
      <c r="G9" s="72">
        <v>-1142</v>
      </c>
      <c r="H9" s="72">
        <v>-3587</v>
      </c>
      <c r="I9" s="72">
        <v>-1371</v>
      </c>
      <c r="J9" s="72">
        <v>-970</v>
      </c>
      <c r="K9" s="172" t="s">
        <v>616</v>
      </c>
      <c r="L9" s="120"/>
    </row>
    <row r="10" spans="1:12" s="81" customFormat="1" ht="102.75" customHeight="1">
      <c r="A10" s="143" t="s">
        <v>386</v>
      </c>
      <c r="B10" s="129">
        <v>1012</v>
      </c>
      <c r="C10" s="72">
        <v>-4513</v>
      </c>
      <c r="D10" s="72">
        <v>-14374</v>
      </c>
      <c r="E10" s="72">
        <v>-8126</v>
      </c>
      <c r="F10" s="72">
        <f t="shared" si="0"/>
        <v>-11552</v>
      </c>
      <c r="G10" s="72">
        <v>-4579</v>
      </c>
      <c r="H10" s="72">
        <v>-2041</v>
      </c>
      <c r="I10" s="72">
        <v>-1873</v>
      </c>
      <c r="J10" s="72">
        <v>-3059</v>
      </c>
      <c r="K10" s="172" t="s">
        <v>806</v>
      </c>
      <c r="L10" s="120"/>
    </row>
    <row r="11" spans="1:12" s="81" customFormat="1" ht="59.25" customHeight="1">
      <c r="A11" s="143" t="s">
        <v>387</v>
      </c>
      <c r="B11" s="129">
        <v>1013</v>
      </c>
      <c r="C11" s="72"/>
      <c r="D11" s="72">
        <v>-878</v>
      </c>
      <c r="E11" s="72">
        <v>-686</v>
      </c>
      <c r="F11" s="72">
        <f t="shared" si="0"/>
        <v>-1263</v>
      </c>
      <c r="G11" s="72">
        <v>-439</v>
      </c>
      <c r="H11" s="72">
        <v>-251</v>
      </c>
      <c r="I11" s="72">
        <v>-235</v>
      </c>
      <c r="J11" s="72">
        <v>-338</v>
      </c>
      <c r="K11" s="172" t="s">
        <v>538</v>
      </c>
      <c r="L11" s="120"/>
    </row>
    <row r="12" spans="1:12" s="81" customFormat="1" ht="40.5" customHeight="1">
      <c r="A12" s="143" t="s">
        <v>5</v>
      </c>
      <c r="B12" s="129">
        <v>1014</v>
      </c>
      <c r="C12" s="72">
        <v>-55726.2</v>
      </c>
      <c r="D12" s="72">
        <v>-70335</v>
      </c>
      <c r="E12" s="72">
        <v>-62806</v>
      </c>
      <c r="F12" s="72">
        <f t="shared" si="0"/>
        <v>-72268</v>
      </c>
      <c r="G12" s="72">
        <v>-18177</v>
      </c>
      <c r="H12" s="72">
        <v>-18770</v>
      </c>
      <c r="I12" s="72">
        <v>-17608</v>
      </c>
      <c r="J12" s="72">
        <v>-17713</v>
      </c>
      <c r="K12" s="172" t="s">
        <v>538</v>
      </c>
      <c r="L12" s="120"/>
    </row>
    <row r="13" spans="1:12" s="81" customFormat="1" ht="39.75" customHeight="1">
      <c r="A13" s="143" t="s">
        <v>6</v>
      </c>
      <c r="B13" s="129">
        <v>1015</v>
      </c>
      <c r="C13" s="72">
        <v>-11612.5</v>
      </c>
      <c r="D13" s="72">
        <v>-15474</v>
      </c>
      <c r="E13" s="72">
        <v>-13646</v>
      </c>
      <c r="F13" s="72">
        <f t="shared" si="0"/>
        <v>-15899</v>
      </c>
      <c r="G13" s="72">
        <v>-3999</v>
      </c>
      <c r="H13" s="72">
        <v>-4129</v>
      </c>
      <c r="I13" s="72">
        <v>-3874</v>
      </c>
      <c r="J13" s="72">
        <v>-3897</v>
      </c>
      <c r="K13" s="172" t="s">
        <v>538</v>
      </c>
      <c r="L13" s="120"/>
    </row>
    <row r="14" spans="1:12" s="81" customFormat="1" ht="114.75" customHeight="1">
      <c r="A14" s="143" t="s">
        <v>388</v>
      </c>
      <c r="B14" s="129">
        <v>1016</v>
      </c>
      <c r="C14" s="72">
        <v>-34262.6</v>
      </c>
      <c r="D14" s="72">
        <v>-9843</v>
      </c>
      <c r="E14" s="72">
        <v>-6069</v>
      </c>
      <c r="F14" s="72">
        <f t="shared" si="0"/>
        <v>-15570</v>
      </c>
      <c r="G14" s="72">
        <v>-1660</v>
      </c>
      <c r="H14" s="72">
        <v>-1261</v>
      </c>
      <c r="I14" s="72">
        <v>-11827</v>
      </c>
      <c r="J14" s="72">
        <v>-822</v>
      </c>
      <c r="K14" s="172" t="s">
        <v>807</v>
      </c>
      <c r="L14" s="120"/>
    </row>
    <row r="15" spans="1:12" s="81" customFormat="1" ht="48" customHeight="1">
      <c r="A15" s="143" t="s">
        <v>389</v>
      </c>
      <c r="B15" s="129">
        <v>1017</v>
      </c>
      <c r="C15" s="72">
        <v>-9106.2999999999993</v>
      </c>
      <c r="D15" s="72">
        <v>-14692</v>
      </c>
      <c r="E15" s="72">
        <v>-13800</v>
      </c>
      <c r="F15" s="72">
        <f>SUM(G15:J15)</f>
        <v>-16688</v>
      </c>
      <c r="G15" s="72">
        <v>-3463</v>
      </c>
      <c r="H15" s="72">
        <v>-4328</v>
      </c>
      <c r="I15" s="72">
        <v>-4337</v>
      </c>
      <c r="J15" s="72">
        <v>-4560</v>
      </c>
      <c r="K15" s="172" t="s">
        <v>808</v>
      </c>
      <c r="L15" s="120"/>
    </row>
    <row r="16" spans="1:12" s="81" customFormat="1" ht="20.100000000000001" customHeight="1">
      <c r="A16" s="143" t="s">
        <v>390</v>
      </c>
      <c r="B16" s="129">
        <v>1018</v>
      </c>
      <c r="C16" s="72">
        <v>-18042.900000000001</v>
      </c>
      <c r="D16" s="173">
        <f>SUM(D17:D19)</f>
        <v>-15257</v>
      </c>
      <c r="E16" s="173">
        <f>SUM(E17:E19)</f>
        <v>-11085</v>
      </c>
      <c r="F16" s="72">
        <f t="shared" si="0"/>
        <v>-9461</v>
      </c>
      <c r="G16" s="72">
        <f>SUM(G17:G19)</f>
        <v>-2670</v>
      </c>
      <c r="H16" s="72">
        <f>SUM(H17:H19)</f>
        <v>-2322</v>
      </c>
      <c r="I16" s="72">
        <f>SUM(I17:I19)</f>
        <v>-2364</v>
      </c>
      <c r="J16" s="72">
        <f>SUM(J17:J19)</f>
        <v>-2105</v>
      </c>
      <c r="K16" s="172"/>
      <c r="L16" s="120"/>
    </row>
    <row r="17" spans="1:12" s="81" customFormat="1" ht="88.5" customHeight="1">
      <c r="A17" s="143" t="s">
        <v>419</v>
      </c>
      <c r="B17" s="129" t="s">
        <v>416</v>
      </c>
      <c r="C17" s="72">
        <v>-14131.6</v>
      </c>
      <c r="D17" s="72">
        <v>-6516</v>
      </c>
      <c r="E17" s="72">
        <v>-5898</v>
      </c>
      <c r="F17" s="72">
        <f t="shared" si="0"/>
        <v>-2358</v>
      </c>
      <c r="G17" s="72">
        <v>-691</v>
      </c>
      <c r="H17" s="72">
        <v>-581</v>
      </c>
      <c r="I17" s="72">
        <v>-514</v>
      </c>
      <c r="J17" s="72">
        <v>-572</v>
      </c>
      <c r="K17" s="174" t="s">
        <v>809</v>
      </c>
      <c r="L17" s="120"/>
    </row>
    <row r="18" spans="1:12" s="81" customFormat="1" ht="47.25" customHeight="1">
      <c r="A18" s="143" t="s">
        <v>420</v>
      </c>
      <c r="B18" s="129" t="s">
        <v>417</v>
      </c>
      <c r="C18" s="72">
        <v>-1343.8</v>
      </c>
      <c r="D18" s="72">
        <v>-1762</v>
      </c>
      <c r="E18" s="72">
        <v>-1143</v>
      </c>
      <c r="F18" s="72">
        <f t="shared" si="0"/>
        <v>-1866</v>
      </c>
      <c r="G18" s="72">
        <v>-447</v>
      </c>
      <c r="H18" s="72">
        <v>-673</v>
      </c>
      <c r="I18" s="72">
        <v>-412</v>
      </c>
      <c r="J18" s="72">
        <v>-334</v>
      </c>
      <c r="K18" s="172" t="s">
        <v>810</v>
      </c>
      <c r="L18" s="120"/>
    </row>
    <row r="19" spans="1:12" s="81" customFormat="1" ht="24" customHeight="1">
      <c r="A19" s="143" t="s">
        <v>421</v>
      </c>
      <c r="B19" s="129" t="s">
        <v>418</v>
      </c>
      <c r="C19" s="72">
        <v>-2567.5000000000005</v>
      </c>
      <c r="D19" s="72">
        <f>SUM(D20:D33)</f>
        <v>-6979</v>
      </c>
      <c r="E19" s="72">
        <f>SUM(E20:E33)</f>
        <v>-4044</v>
      </c>
      <c r="F19" s="72">
        <f>SUM(G19:J19)</f>
        <v>-5237</v>
      </c>
      <c r="G19" s="72">
        <f>SUM(G20:G33)</f>
        <v>-1532</v>
      </c>
      <c r="H19" s="72">
        <f t="shared" ref="H19:J19" si="1">SUM(H20:H33)</f>
        <v>-1068</v>
      </c>
      <c r="I19" s="72">
        <f t="shared" si="1"/>
        <v>-1438</v>
      </c>
      <c r="J19" s="72">
        <f t="shared" si="1"/>
        <v>-1199</v>
      </c>
      <c r="K19" s="172"/>
      <c r="L19" s="120"/>
    </row>
    <row r="20" spans="1:12" s="81" customFormat="1" ht="33.75" customHeight="1">
      <c r="A20" s="143" t="s">
        <v>482</v>
      </c>
      <c r="B20" s="129" t="s">
        <v>499</v>
      </c>
      <c r="C20" s="72">
        <v>-74.400000000000006</v>
      </c>
      <c r="D20" s="72">
        <v>-81</v>
      </c>
      <c r="E20" s="72">
        <v>-57</v>
      </c>
      <c r="F20" s="72">
        <f>SUM(G20:J20)</f>
        <v>-78</v>
      </c>
      <c r="G20" s="72">
        <v>-4</v>
      </c>
      <c r="H20" s="72">
        <v>-7</v>
      </c>
      <c r="I20" s="72">
        <v>-27</v>
      </c>
      <c r="J20" s="72">
        <v>-40</v>
      </c>
      <c r="K20" s="172" t="s">
        <v>618</v>
      </c>
      <c r="L20" s="120"/>
    </row>
    <row r="21" spans="1:12" s="81" customFormat="1" ht="37.5" customHeight="1">
      <c r="A21" s="143" t="s">
        <v>639</v>
      </c>
      <c r="B21" s="129" t="s">
        <v>500</v>
      </c>
      <c r="C21" s="72">
        <v>-32.9</v>
      </c>
      <c r="D21" s="72">
        <v>-82</v>
      </c>
      <c r="E21" s="72">
        <v>-47</v>
      </c>
      <c r="F21" s="72">
        <f t="shared" ref="F21:F29" si="2">SUM(G21:J21)</f>
        <v>-60</v>
      </c>
      <c r="G21" s="72">
        <v>-15</v>
      </c>
      <c r="H21" s="72">
        <v>-15</v>
      </c>
      <c r="I21" s="72">
        <v>-15</v>
      </c>
      <c r="J21" s="72">
        <v>-15</v>
      </c>
      <c r="K21" s="175" t="s">
        <v>815</v>
      </c>
      <c r="L21" s="120"/>
    </row>
    <row r="22" spans="1:12" s="81" customFormat="1" ht="48.75" customHeight="1">
      <c r="A22" s="143" t="s">
        <v>477</v>
      </c>
      <c r="B22" s="129" t="s">
        <v>501</v>
      </c>
      <c r="C22" s="72">
        <v>-432.8</v>
      </c>
      <c r="D22" s="72">
        <v>-1512</v>
      </c>
      <c r="E22" s="72">
        <v>-838</v>
      </c>
      <c r="F22" s="72">
        <f t="shared" si="2"/>
        <v>-885</v>
      </c>
      <c r="G22" s="72">
        <v>-296</v>
      </c>
      <c r="H22" s="72">
        <v>-196</v>
      </c>
      <c r="I22" s="72">
        <v>-196</v>
      </c>
      <c r="J22" s="72">
        <v>-197</v>
      </c>
      <c r="K22" s="172" t="s">
        <v>811</v>
      </c>
      <c r="L22" s="120"/>
    </row>
    <row r="23" spans="1:12" s="81" customFormat="1" ht="39.75" customHeight="1">
      <c r="A23" s="143" t="s">
        <v>478</v>
      </c>
      <c r="B23" s="129" t="s">
        <v>502</v>
      </c>
      <c r="C23" s="72">
        <v>-250.1</v>
      </c>
      <c r="D23" s="72">
        <v>-766</v>
      </c>
      <c r="E23" s="72">
        <v>-497</v>
      </c>
      <c r="F23" s="72">
        <f t="shared" si="2"/>
        <v>-139</v>
      </c>
      <c r="G23" s="72">
        <v>-38</v>
      </c>
      <c r="H23" s="72">
        <v>-26</v>
      </c>
      <c r="I23" s="72">
        <v>-68</v>
      </c>
      <c r="J23" s="72">
        <v>-7</v>
      </c>
      <c r="K23" s="172" t="s">
        <v>812</v>
      </c>
      <c r="L23" s="120"/>
    </row>
    <row r="24" spans="1:12" s="81" customFormat="1" ht="33.75" customHeight="1">
      <c r="A24" s="143" t="s">
        <v>608</v>
      </c>
      <c r="B24" s="129" t="s">
        <v>503</v>
      </c>
      <c r="C24" s="72"/>
      <c r="D24" s="72">
        <v>-545</v>
      </c>
      <c r="E24" s="72">
        <v>0</v>
      </c>
      <c r="F24" s="72">
        <f t="shared" si="2"/>
        <v>-283</v>
      </c>
      <c r="G24" s="72">
        <v>-94</v>
      </c>
      <c r="H24" s="72">
        <v>-3</v>
      </c>
      <c r="I24" s="72">
        <v>-93</v>
      </c>
      <c r="J24" s="72">
        <v>-93</v>
      </c>
      <c r="K24" s="172" t="s">
        <v>813</v>
      </c>
      <c r="L24" s="120"/>
    </row>
    <row r="25" spans="1:12" s="81" customFormat="1" ht="27" customHeight="1">
      <c r="A25" s="143" t="s">
        <v>609</v>
      </c>
      <c r="B25" s="129" t="s">
        <v>504</v>
      </c>
      <c r="C25" s="72">
        <v>-180.2</v>
      </c>
      <c r="D25" s="72"/>
      <c r="E25" s="72">
        <v>0</v>
      </c>
      <c r="F25" s="72">
        <f t="shared" si="2"/>
        <v>0</v>
      </c>
      <c r="G25" s="72"/>
      <c r="H25" s="72"/>
      <c r="I25" s="72"/>
      <c r="J25" s="72"/>
      <c r="K25" s="172"/>
      <c r="L25" s="120"/>
    </row>
    <row r="26" spans="1:12" s="81" customFormat="1" ht="35.25" customHeight="1">
      <c r="A26" s="143" t="s">
        <v>481</v>
      </c>
      <c r="B26" s="129" t="s">
        <v>505</v>
      </c>
      <c r="C26" s="72">
        <v>-342.2</v>
      </c>
      <c r="D26" s="72">
        <v>-377</v>
      </c>
      <c r="E26" s="72">
        <v>-376</v>
      </c>
      <c r="F26" s="72">
        <f t="shared" si="2"/>
        <v>-676</v>
      </c>
      <c r="G26" s="72">
        <v>-225</v>
      </c>
      <c r="H26" s="72">
        <v>-149</v>
      </c>
      <c r="I26" s="72">
        <v>-151</v>
      </c>
      <c r="J26" s="72">
        <v>-151</v>
      </c>
      <c r="K26" s="172" t="s">
        <v>814</v>
      </c>
      <c r="L26" s="120"/>
    </row>
    <row r="27" spans="1:12" s="81" customFormat="1" ht="51" customHeight="1">
      <c r="A27" s="143" t="s">
        <v>479</v>
      </c>
      <c r="B27" s="129" t="s">
        <v>506</v>
      </c>
      <c r="C27" s="72">
        <v>-96.9</v>
      </c>
      <c r="D27" s="72">
        <v>-252</v>
      </c>
      <c r="E27" s="72">
        <v>-128</v>
      </c>
      <c r="F27" s="72">
        <f t="shared" si="2"/>
        <v>-482</v>
      </c>
      <c r="G27" s="72">
        <v>-90</v>
      </c>
      <c r="H27" s="72">
        <v>-142</v>
      </c>
      <c r="I27" s="72">
        <v>-110</v>
      </c>
      <c r="J27" s="72">
        <v>-140</v>
      </c>
      <c r="K27" s="172" t="s">
        <v>816</v>
      </c>
      <c r="L27" s="120"/>
    </row>
    <row r="28" spans="1:12" s="81" customFormat="1" ht="22.5" customHeight="1">
      <c r="A28" s="143" t="s">
        <v>624</v>
      </c>
      <c r="B28" s="129" t="s">
        <v>507</v>
      </c>
      <c r="C28" s="72">
        <v>-15.5</v>
      </c>
      <c r="D28" s="72">
        <v>-30</v>
      </c>
      <c r="E28" s="72">
        <v>-11</v>
      </c>
      <c r="F28" s="72">
        <f t="shared" si="2"/>
        <v>-25</v>
      </c>
      <c r="G28" s="72">
        <v>-2</v>
      </c>
      <c r="H28" s="72">
        <v>-10</v>
      </c>
      <c r="I28" s="72">
        <v>-8</v>
      </c>
      <c r="J28" s="72">
        <v>-5</v>
      </c>
      <c r="K28" s="172" t="s">
        <v>619</v>
      </c>
      <c r="L28" s="120"/>
    </row>
    <row r="29" spans="1:12" s="81" customFormat="1" ht="109.5" customHeight="1">
      <c r="A29" s="143" t="s">
        <v>480</v>
      </c>
      <c r="B29" s="129" t="s">
        <v>508</v>
      </c>
      <c r="C29" s="72">
        <v>-395.6</v>
      </c>
      <c r="D29" s="72">
        <v>-1389</v>
      </c>
      <c r="E29" s="72">
        <v>-602</v>
      </c>
      <c r="F29" s="72">
        <f t="shared" si="2"/>
        <v>-949</v>
      </c>
      <c r="G29" s="72">
        <v>-280</v>
      </c>
      <c r="H29" s="72">
        <v>-130</v>
      </c>
      <c r="I29" s="72">
        <v>-378</v>
      </c>
      <c r="J29" s="72">
        <v>-161</v>
      </c>
      <c r="K29" s="172" t="s">
        <v>817</v>
      </c>
      <c r="L29" s="120"/>
    </row>
    <row r="30" spans="1:12" s="81" customFormat="1" ht="70.5" customHeight="1">
      <c r="A30" s="143" t="s">
        <v>637</v>
      </c>
      <c r="B30" s="129" t="s">
        <v>523</v>
      </c>
      <c r="C30" s="72">
        <v>-490</v>
      </c>
      <c r="D30" s="72">
        <v>-883</v>
      </c>
      <c r="E30" s="72">
        <v>-658</v>
      </c>
      <c r="F30" s="72">
        <f>SUM(G30:J30)</f>
        <v>-498</v>
      </c>
      <c r="G30" s="72">
        <v>-146</v>
      </c>
      <c r="H30" s="72">
        <v>-148</v>
      </c>
      <c r="I30" s="72">
        <v>-146</v>
      </c>
      <c r="J30" s="72">
        <v>-58</v>
      </c>
      <c r="K30" s="172" t="s">
        <v>818</v>
      </c>
      <c r="L30" s="120"/>
    </row>
    <row r="31" spans="1:12" s="81" customFormat="1">
      <c r="A31" s="143" t="s">
        <v>515</v>
      </c>
      <c r="B31" s="129" t="s">
        <v>521</v>
      </c>
      <c r="C31" s="72">
        <v>-27.6</v>
      </c>
      <c r="D31" s="72">
        <f>-32</f>
        <v>-32</v>
      </c>
      <c r="E31" s="72">
        <v>-32</v>
      </c>
      <c r="F31" s="72">
        <f>SUM(G31:J31)</f>
        <v>-32</v>
      </c>
      <c r="G31" s="72">
        <v>-8</v>
      </c>
      <c r="H31" s="72">
        <v>-8</v>
      </c>
      <c r="I31" s="72">
        <v>-8</v>
      </c>
      <c r="J31" s="72">
        <v>-8</v>
      </c>
      <c r="K31" s="175" t="s">
        <v>537</v>
      </c>
      <c r="L31" s="120"/>
    </row>
    <row r="32" spans="1:12" s="81" customFormat="1" ht="92.25" customHeight="1">
      <c r="A32" s="143" t="s">
        <v>640</v>
      </c>
      <c r="B32" s="129" t="s">
        <v>522</v>
      </c>
      <c r="C32" s="72">
        <v>-229.3</v>
      </c>
      <c r="D32" s="72">
        <v>-996</v>
      </c>
      <c r="E32" s="72">
        <v>-798</v>
      </c>
      <c r="F32" s="72">
        <f>SUM(G32:J32)</f>
        <v>-1130</v>
      </c>
      <c r="G32" s="72">
        <v>-334</v>
      </c>
      <c r="H32" s="72">
        <v>-234</v>
      </c>
      <c r="I32" s="72">
        <v>-238</v>
      </c>
      <c r="J32" s="72">
        <v>-324</v>
      </c>
      <c r="K32" s="172"/>
      <c r="L32" s="120"/>
    </row>
    <row r="33" spans="1:12" s="81" customFormat="1">
      <c r="A33" s="143" t="s">
        <v>593</v>
      </c>
      <c r="B33" s="129" t="s">
        <v>594</v>
      </c>
      <c r="C33" s="73"/>
      <c r="D33" s="78">
        <v>-34</v>
      </c>
      <c r="E33" s="78"/>
      <c r="F33" s="78"/>
      <c r="G33" s="78"/>
      <c r="H33" s="78"/>
      <c r="I33" s="78"/>
      <c r="J33" s="78"/>
      <c r="K33" s="172"/>
      <c r="L33" s="120"/>
    </row>
    <row r="34" spans="1:12" s="4" customFormat="1" ht="20.100000000000001" customHeight="1">
      <c r="A34" s="176" t="s">
        <v>26</v>
      </c>
      <c r="B34" s="177">
        <v>1020</v>
      </c>
      <c r="C34" s="79">
        <f t="shared" ref="C34:J34" si="3">SUM(C7,C8)</f>
        <v>-135468</v>
      </c>
      <c r="D34" s="79">
        <f>SUM(D7,D8)</f>
        <v>-148448</v>
      </c>
      <c r="E34" s="79">
        <f t="shared" si="3"/>
        <v>-118659</v>
      </c>
      <c r="F34" s="79">
        <f t="shared" si="3"/>
        <v>-149273</v>
      </c>
      <c r="G34" s="79">
        <f t="shared" si="3"/>
        <v>-36034</v>
      </c>
      <c r="H34" s="79">
        <f t="shared" si="3"/>
        <v>-36504</v>
      </c>
      <c r="I34" s="79">
        <f t="shared" si="3"/>
        <v>-43380</v>
      </c>
      <c r="J34" s="79">
        <f t="shared" si="3"/>
        <v>-33355</v>
      </c>
      <c r="K34" s="178"/>
      <c r="L34" s="120"/>
    </row>
    <row r="35" spans="1:12" ht="20.100000000000001" customHeight="1">
      <c r="A35" s="143" t="s">
        <v>189</v>
      </c>
      <c r="B35" s="144">
        <v>1030</v>
      </c>
      <c r="C35" s="72">
        <f>SUM(C36:C55,C57)</f>
        <v>-38527.999999999993</v>
      </c>
      <c r="D35" s="72">
        <f>SUM(D36:D55,D57)</f>
        <v>-41903</v>
      </c>
      <c r="E35" s="72">
        <f>SUM(E36:E55,E57)</f>
        <v>-40424</v>
      </c>
      <c r="F35" s="72">
        <f t="shared" ref="F35:F122" si="4">SUM(G35:J35)</f>
        <v>-49090</v>
      </c>
      <c r="G35" s="72">
        <f>SUM(G36:G55,G57)</f>
        <v>-12351</v>
      </c>
      <c r="H35" s="72">
        <f>SUM(H36:H55,H57)</f>
        <v>-12384</v>
      </c>
      <c r="I35" s="72">
        <f>SUM(I36:I55,I57)</f>
        <v>-11817</v>
      </c>
      <c r="J35" s="72">
        <f>SUM(J36:J55,J57)</f>
        <v>-12538</v>
      </c>
      <c r="K35" s="172"/>
    </row>
    <row r="36" spans="1:12" ht="43.5" customHeight="1">
      <c r="A36" s="143" t="s">
        <v>109</v>
      </c>
      <c r="B36" s="144">
        <v>1031</v>
      </c>
      <c r="C36" s="72">
        <v>-17.7</v>
      </c>
      <c r="D36" s="72">
        <v>-26</v>
      </c>
      <c r="E36" s="72">
        <v>-12</v>
      </c>
      <c r="F36" s="72">
        <f t="shared" si="4"/>
        <v>-30</v>
      </c>
      <c r="G36" s="72">
        <v>0</v>
      </c>
      <c r="H36" s="72">
        <v>-10</v>
      </c>
      <c r="I36" s="72">
        <v>-10</v>
      </c>
      <c r="J36" s="72">
        <v>-10</v>
      </c>
      <c r="K36" s="172" t="s">
        <v>819</v>
      </c>
    </row>
    <row r="37" spans="1:12">
      <c r="A37" s="143" t="s">
        <v>176</v>
      </c>
      <c r="B37" s="144">
        <v>1032</v>
      </c>
      <c r="C37" s="73" t="s">
        <v>251</v>
      </c>
      <c r="D37" s="78" t="s">
        <v>251</v>
      </c>
      <c r="E37" s="78">
        <v>0</v>
      </c>
      <c r="F37" s="78">
        <f t="shared" si="4"/>
        <v>0</v>
      </c>
      <c r="G37" s="78">
        <v>0</v>
      </c>
      <c r="H37" s="78">
        <v>0</v>
      </c>
      <c r="I37" s="78">
        <v>0</v>
      </c>
      <c r="J37" s="78">
        <v>0</v>
      </c>
      <c r="K37" s="172"/>
    </row>
    <row r="38" spans="1:12" ht="20.100000000000001" customHeight="1">
      <c r="A38" s="143" t="s">
        <v>59</v>
      </c>
      <c r="B38" s="144">
        <v>1033</v>
      </c>
      <c r="C38" s="73" t="s">
        <v>251</v>
      </c>
      <c r="D38" s="78" t="s">
        <v>251</v>
      </c>
      <c r="E38" s="78">
        <v>0</v>
      </c>
      <c r="F38" s="78">
        <f t="shared" si="4"/>
        <v>0</v>
      </c>
      <c r="G38" s="78">
        <v>0</v>
      </c>
      <c r="H38" s="78">
        <v>0</v>
      </c>
      <c r="I38" s="78">
        <v>0</v>
      </c>
      <c r="J38" s="78">
        <v>0</v>
      </c>
      <c r="K38" s="172"/>
    </row>
    <row r="39" spans="1:12" ht="20.100000000000001" customHeight="1">
      <c r="A39" s="143" t="s">
        <v>24</v>
      </c>
      <c r="B39" s="144">
        <v>1034</v>
      </c>
      <c r="C39" s="73" t="s">
        <v>251</v>
      </c>
      <c r="D39" s="78" t="s">
        <v>251</v>
      </c>
      <c r="E39" s="78">
        <v>0</v>
      </c>
      <c r="F39" s="78">
        <f t="shared" si="4"/>
        <v>0</v>
      </c>
      <c r="G39" s="78">
        <v>0</v>
      </c>
      <c r="H39" s="78">
        <v>0</v>
      </c>
      <c r="I39" s="78">
        <v>0</v>
      </c>
      <c r="J39" s="78">
        <v>0</v>
      </c>
      <c r="K39" s="172"/>
    </row>
    <row r="40" spans="1:12" ht="25.5" customHeight="1">
      <c r="A40" s="143" t="s">
        <v>25</v>
      </c>
      <c r="B40" s="144">
        <v>1035</v>
      </c>
      <c r="C40" s="73" t="s">
        <v>251</v>
      </c>
      <c r="D40" s="78" t="s">
        <v>251</v>
      </c>
      <c r="E40" s="78">
        <v>0</v>
      </c>
      <c r="F40" s="78">
        <f t="shared" si="4"/>
        <v>0</v>
      </c>
      <c r="G40" s="78">
        <v>0</v>
      </c>
      <c r="H40" s="78">
        <v>0</v>
      </c>
      <c r="I40" s="78">
        <v>0</v>
      </c>
      <c r="J40" s="78">
        <v>0</v>
      </c>
      <c r="K40" s="172"/>
    </row>
    <row r="41" spans="1:12" s="81" customFormat="1" ht="45" customHeight="1">
      <c r="A41" s="143" t="s">
        <v>36</v>
      </c>
      <c r="B41" s="144">
        <v>1036</v>
      </c>
      <c r="C41" s="72">
        <v>-1224.8</v>
      </c>
      <c r="D41" s="72">
        <v>-1671</v>
      </c>
      <c r="E41" s="72">
        <v>-1319</v>
      </c>
      <c r="F41" s="72">
        <f t="shared" si="4"/>
        <v>-1583</v>
      </c>
      <c r="G41" s="72">
        <v>-287</v>
      </c>
      <c r="H41" s="72">
        <v>-508</v>
      </c>
      <c r="I41" s="72">
        <v>-311</v>
      </c>
      <c r="J41" s="72">
        <v>-477</v>
      </c>
      <c r="K41" s="172" t="s">
        <v>820</v>
      </c>
      <c r="L41" s="120"/>
    </row>
    <row r="42" spans="1:12" s="81" customFormat="1" ht="48" customHeight="1">
      <c r="A42" s="143" t="s">
        <v>37</v>
      </c>
      <c r="B42" s="144">
        <v>1037</v>
      </c>
      <c r="C42" s="72">
        <v>-120.5</v>
      </c>
      <c r="D42" s="72">
        <v>-142</v>
      </c>
      <c r="E42" s="72">
        <v>-83</v>
      </c>
      <c r="F42" s="72">
        <f t="shared" si="4"/>
        <v>-155</v>
      </c>
      <c r="G42" s="72">
        <v>-31</v>
      </c>
      <c r="H42" s="72">
        <v>-41</v>
      </c>
      <c r="I42" s="72">
        <v>-41</v>
      </c>
      <c r="J42" s="72">
        <v>-42</v>
      </c>
      <c r="K42" s="171"/>
      <c r="L42" s="120"/>
    </row>
    <row r="43" spans="1:12" s="81" customFormat="1" ht="67.5" customHeight="1">
      <c r="A43" s="143" t="s">
        <v>38</v>
      </c>
      <c r="B43" s="144">
        <v>1038</v>
      </c>
      <c r="C43" s="72">
        <v>-20136.400000000001</v>
      </c>
      <c r="D43" s="72">
        <v>-21709</v>
      </c>
      <c r="E43" s="72">
        <v>-21142</v>
      </c>
      <c r="F43" s="72">
        <f t="shared" si="4"/>
        <v>-27525</v>
      </c>
      <c r="G43" s="72">
        <v>-6797</v>
      </c>
      <c r="H43" s="72">
        <v>-6923</v>
      </c>
      <c r="I43" s="72">
        <v>-6874</v>
      </c>
      <c r="J43" s="72">
        <v>-6931</v>
      </c>
      <c r="K43" s="171"/>
      <c r="L43" s="120"/>
    </row>
    <row r="44" spans="1:12" s="81" customFormat="1" ht="38.25" customHeight="1">
      <c r="A44" s="143" t="s">
        <v>39</v>
      </c>
      <c r="B44" s="144">
        <v>1039</v>
      </c>
      <c r="C44" s="72">
        <v>-4118.3</v>
      </c>
      <c r="D44" s="72">
        <v>-4776</v>
      </c>
      <c r="E44" s="72">
        <v>-4603</v>
      </c>
      <c r="F44" s="72">
        <f t="shared" si="4"/>
        <v>-6055</v>
      </c>
      <c r="G44" s="72">
        <v>-1495</v>
      </c>
      <c r="H44" s="72">
        <v>-1523</v>
      </c>
      <c r="I44" s="72">
        <v>-1512</v>
      </c>
      <c r="J44" s="72">
        <v>-1525</v>
      </c>
      <c r="K44" s="172" t="s">
        <v>617</v>
      </c>
      <c r="L44" s="120"/>
    </row>
    <row r="45" spans="1:12" s="81" customFormat="1" ht="60" customHeight="1">
      <c r="A45" s="143" t="s">
        <v>40</v>
      </c>
      <c r="B45" s="144">
        <v>1040</v>
      </c>
      <c r="C45" s="72">
        <v>-722.1</v>
      </c>
      <c r="D45" s="72">
        <v>-918</v>
      </c>
      <c r="E45" s="72">
        <v>-1327</v>
      </c>
      <c r="F45" s="72">
        <f t="shared" si="4"/>
        <v>-914</v>
      </c>
      <c r="G45" s="72">
        <v>-146</v>
      </c>
      <c r="H45" s="72">
        <v>-364</v>
      </c>
      <c r="I45" s="72">
        <v>-212</v>
      </c>
      <c r="J45" s="72">
        <v>-192</v>
      </c>
      <c r="K45" s="172" t="s">
        <v>821</v>
      </c>
      <c r="L45" s="120"/>
    </row>
    <row r="46" spans="1:12" s="81" customFormat="1" ht="69.75" customHeight="1">
      <c r="A46" s="143" t="s">
        <v>41</v>
      </c>
      <c r="B46" s="144">
        <v>1041</v>
      </c>
      <c r="C46" s="72">
        <v>-7336.3</v>
      </c>
      <c r="D46" s="72">
        <v>-7641</v>
      </c>
      <c r="E46" s="72">
        <v>-7668</v>
      </c>
      <c r="F46" s="72">
        <f t="shared" si="4"/>
        <v>-8326</v>
      </c>
      <c r="G46" s="72">
        <v>-2258</v>
      </c>
      <c r="H46" s="72">
        <v>-2046</v>
      </c>
      <c r="I46" s="72">
        <v>-2011</v>
      </c>
      <c r="J46" s="72">
        <v>-2011</v>
      </c>
      <c r="K46" s="172" t="s">
        <v>822</v>
      </c>
      <c r="L46" s="120"/>
    </row>
    <row r="47" spans="1:12" s="81" customFormat="1" ht="20.100000000000001" customHeight="1">
      <c r="A47" s="143" t="s">
        <v>42</v>
      </c>
      <c r="B47" s="144">
        <v>1042</v>
      </c>
      <c r="C47" s="72"/>
      <c r="D47" s="72"/>
      <c r="E47" s="72"/>
      <c r="F47" s="72">
        <f t="shared" si="4"/>
        <v>0</v>
      </c>
      <c r="G47" s="72">
        <v>0</v>
      </c>
      <c r="H47" s="72">
        <v>0</v>
      </c>
      <c r="I47" s="72">
        <v>0</v>
      </c>
      <c r="J47" s="72">
        <v>0</v>
      </c>
      <c r="K47" s="172"/>
      <c r="L47" s="120"/>
    </row>
    <row r="48" spans="1:12" s="81" customFormat="1" ht="20.100000000000001" customHeight="1">
      <c r="A48" s="143" t="s">
        <v>43</v>
      </c>
      <c r="B48" s="144">
        <v>1043</v>
      </c>
      <c r="C48" s="72" t="s">
        <v>251</v>
      </c>
      <c r="D48" s="72" t="s">
        <v>251</v>
      </c>
      <c r="E48" s="72" t="s">
        <v>251</v>
      </c>
      <c r="F48" s="72">
        <f t="shared" si="4"/>
        <v>0</v>
      </c>
      <c r="G48" s="72">
        <v>0</v>
      </c>
      <c r="H48" s="72">
        <v>0</v>
      </c>
      <c r="I48" s="72">
        <v>0</v>
      </c>
      <c r="J48" s="72">
        <v>0</v>
      </c>
      <c r="K48" s="172"/>
      <c r="L48" s="120"/>
    </row>
    <row r="49" spans="1:12" s="81" customFormat="1">
      <c r="A49" s="143" t="s">
        <v>44</v>
      </c>
      <c r="B49" s="144">
        <v>1044</v>
      </c>
      <c r="C49" s="72">
        <v>-87.9</v>
      </c>
      <c r="D49" s="72">
        <v>-70</v>
      </c>
      <c r="E49" s="72">
        <v>-57</v>
      </c>
      <c r="F49" s="72">
        <f t="shared" si="4"/>
        <v>-69</v>
      </c>
      <c r="G49" s="72">
        <v>0</v>
      </c>
      <c r="H49" s="72">
        <v>0</v>
      </c>
      <c r="I49" s="72">
        <v>0</v>
      </c>
      <c r="J49" s="72">
        <v>-69</v>
      </c>
      <c r="K49" s="179"/>
      <c r="L49" s="120"/>
    </row>
    <row r="50" spans="1:12" s="81" customFormat="1">
      <c r="A50" s="143" t="s">
        <v>61</v>
      </c>
      <c r="B50" s="144">
        <v>1045</v>
      </c>
      <c r="C50" s="72">
        <v>-2.7</v>
      </c>
      <c r="D50" s="72"/>
      <c r="E50" s="72">
        <v>0</v>
      </c>
      <c r="F50" s="72">
        <f>SUM(G50:J50)</f>
        <v>0</v>
      </c>
      <c r="G50" s="72">
        <v>0</v>
      </c>
      <c r="H50" s="72">
        <v>0</v>
      </c>
      <c r="I50" s="72">
        <v>0</v>
      </c>
      <c r="J50" s="72">
        <v>0</v>
      </c>
      <c r="K50" s="172"/>
      <c r="L50" s="120"/>
    </row>
    <row r="51" spans="1:12" s="81" customFormat="1" ht="23.25" customHeight="1">
      <c r="A51" s="143" t="s">
        <v>45</v>
      </c>
      <c r="B51" s="144">
        <v>1046</v>
      </c>
      <c r="C51" s="72">
        <v>-22.6</v>
      </c>
      <c r="D51" s="72">
        <v>-412</v>
      </c>
      <c r="E51" s="72">
        <v>-132</v>
      </c>
      <c r="F51" s="72">
        <f t="shared" si="4"/>
        <v>-312</v>
      </c>
      <c r="G51" s="72">
        <v>-78</v>
      </c>
      <c r="H51" s="72">
        <v>-78</v>
      </c>
      <c r="I51" s="72">
        <v>-78</v>
      </c>
      <c r="J51" s="72">
        <v>-78</v>
      </c>
      <c r="K51" s="172"/>
      <c r="L51" s="120"/>
    </row>
    <row r="52" spans="1:12" s="81" customFormat="1">
      <c r="A52" s="143" t="s">
        <v>46</v>
      </c>
      <c r="B52" s="144">
        <v>1047</v>
      </c>
      <c r="C52" s="72">
        <v>-4.2</v>
      </c>
      <c r="D52" s="72">
        <v>-50</v>
      </c>
      <c r="E52" s="72">
        <v>0</v>
      </c>
      <c r="F52" s="72">
        <f t="shared" si="4"/>
        <v>0</v>
      </c>
      <c r="G52" s="72">
        <v>0</v>
      </c>
      <c r="H52" s="72">
        <v>0</v>
      </c>
      <c r="I52" s="72">
        <v>0</v>
      </c>
      <c r="J52" s="72">
        <v>0</v>
      </c>
      <c r="K52" s="172"/>
      <c r="L52" s="120"/>
    </row>
    <row r="53" spans="1:12" s="81" customFormat="1" ht="20.100000000000001" customHeight="1">
      <c r="A53" s="143" t="s">
        <v>47</v>
      </c>
      <c r="B53" s="144">
        <v>1048</v>
      </c>
      <c r="C53" s="72"/>
      <c r="D53" s="72"/>
      <c r="E53" s="72">
        <v>0</v>
      </c>
      <c r="F53" s="72">
        <f t="shared" si="4"/>
        <v>0</v>
      </c>
      <c r="G53" s="72">
        <v>0</v>
      </c>
      <c r="H53" s="72"/>
      <c r="I53" s="72"/>
      <c r="J53" s="72"/>
      <c r="K53" s="172"/>
      <c r="L53" s="120"/>
    </row>
    <row r="54" spans="1:12" s="81" customFormat="1">
      <c r="A54" s="143" t="s">
        <v>48</v>
      </c>
      <c r="B54" s="144">
        <v>1049</v>
      </c>
      <c r="C54" s="72">
        <v>-40.4</v>
      </c>
      <c r="D54" s="72">
        <v>-94</v>
      </c>
      <c r="E54" s="72">
        <v>-39</v>
      </c>
      <c r="F54" s="72">
        <f>SUM(G54:J54)</f>
        <v>-91</v>
      </c>
      <c r="G54" s="72">
        <v>-16</v>
      </c>
      <c r="H54" s="72">
        <v>-23</v>
      </c>
      <c r="I54" s="72">
        <v>-25</v>
      </c>
      <c r="J54" s="72">
        <v>-27</v>
      </c>
      <c r="K54" s="172"/>
      <c r="L54" s="120"/>
    </row>
    <row r="55" spans="1:12" s="81" customFormat="1" ht="84" customHeight="1">
      <c r="A55" s="143" t="s">
        <v>80</v>
      </c>
      <c r="B55" s="144">
        <v>1050</v>
      </c>
      <c r="C55" s="72">
        <v>-1718</v>
      </c>
      <c r="D55" s="72">
        <v>-1647</v>
      </c>
      <c r="E55" s="72">
        <v>-1611</v>
      </c>
      <c r="F55" s="72">
        <f t="shared" si="4"/>
        <v>-1720</v>
      </c>
      <c r="G55" s="72">
        <v>-583</v>
      </c>
      <c r="H55" s="72">
        <v>-345</v>
      </c>
      <c r="I55" s="72">
        <v>-303</v>
      </c>
      <c r="J55" s="72">
        <v>-489</v>
      </c>
      <c r="K55" s="172" t="s">
        <v>823</v>
      </c>
      <c r="L55" s="120"/>
    </row>
    <row r="56" spans="1:12" s="81" customFormat="1" ht="20.100000000000001" customHeight="1">
      <c r="A56" s="143" t="s">
        <v>49</v>
      </c>
      <c r="B56" s="126" t="s">
        <v>294</v>
      </c>
      <c r="C56" s="72" t="s">
        <v>251</v>
      </c>
      <c r="D56" s="72" t="s">
        <v>251</v>
      </c>
      <c r="E56" s="79">
        <v>0</v>
      </c>
      <c r="F56" s="72">
        <f t="shared" si="4"/>
        <v>0</v>
      </c>
      <c r="G56" s="72">
        <v>0</v>
      </c>
      <c r="H56" s="72"/>
      <c r="I56" s="72"/>
      <c r="J56" s="72"/>
      <c r="K56" s="172"/>
      <c r="L56" s="120"/>
    </row>
    <row r="57" spans="1:12" s="81" customFormat="1" ht="19.899999999999999" customHeight="1">
      <c r="A57" s="143" t="s">
        <v>112</v>
      </c>
      <c r="B57" s="144">
        <v>1051</v>
      </c>
      <c r="C57" s="72">
        <v>-2976.1</v>
      </c>
      <c r="D57" s="72">
        <f>D58+D59+D60+D61</f>
        <v>-2747</v>
      </c>
      <c r="E57" s="72">
        <f>E58+E59+E60+E61</f>
        <v>-2431</v>
      </c>
      <c r="F57" s="72">
        <f t="shared" si="4"/>
        <v>-2310</v>
      </c>
      <c r="G57" s="72">
        <f>SUM(G58:G61)</f>
        <v>-660</v>
      </c>
      <c r="H57" s="72">
        <f>SUM(H58:H61)</f>
        <v>-523</v>
      </c>
      <c r="I57" s="72">
        <f>SUM(I58:I61)</f>
        <v>-440</v>
      </c>
      <c r="J57" s="72">
        <f>SUM(J58:J61)</f>
        <v>-687</v>
      </c>
      <c r="K57" s="172"/>
      <c r="L57" s="120"/>
    </row>
    <row r="58" spans="1:12" s="81" customFormat="1" ht="46.5" customHeight="1">
      <c r="A58" s="143" t="s">
        <v>425</v>
      </c>
      <c r="B58" s="144" t="s">
        <v>422</v>
      </c>
      <c r="C58" s="72">
        <v>-705.1</v>
      </c>
      <c r="D58" s="72">
        <v>-606</v>
      </c>
      <c r="E58" s="72">
        <v>-555</v>
      </c>
      <c r="F58" s="72">
        <f t="shared" si="4"/>
        <v>-656</v>
      </c>
      <c r="G58" s="72">
        <v>-209</v>
      </c>
      <c r="H58" s="72">
        <v>-105</v>
      </c>
      <c r="I58" s="72">
        <v>-75</v>
      </c>
      <c r="J58" s="72">
        <v>-267</v>
      </c>
      <c r="K58" s="172"/>
      <c r="L58" s="120"/>
    </row>
    <row r="59" spans="1:12" s="81" customFormat="1" ht="51" customHeight="1">
      <c r="A59" s="143" t="s">
        <v>426</v>
      </c>
      <c r="B59" s="144" t="s">
        <v>423</v>
      </c>
      <c r="C59" s="72"/>
      <c r="D59" s="72"/>
      <c r="E59" s="72"/>
      <c r="F59" s="72">
        <f t="shared" si="4"/>
        <v>0</v>
      </c>
      <c r="G59" s="72">
        <v>0</v>
      </c>
      <c r="H59" s="72">
        <v>0</v>
      </c>
      <c r="I59" s="72">
        <v>0</v>
      </c>
      <c r="J59" s="72">
        <v>0</v>
      </c>
      <c r="K59" s="172"/>
      <c r="L59" s="120"/>
    </row>
    <row r="60" spans="1:12" s="81" customFormat="1" ht="21.75" customHeight="1">
      <c r="A60" s="143" t="s">
        <v>427</v>
      </c>
      <c r="B60" s="144" t="s">
        <v>424</v>
      </c>
      <c r="C60" s="72"/>
      <c r="D60" s="72"/>
      <c r="E60" s="72"/>
      <c r="F60" s="72">
        <f t="shared" si="4"/>
        <v>0</v>
      </c>
      <c r="G60" s="72"/>
      <c r="H60" s="72"/>
      <c r="I60" s="72"/>
      <c r="J60" s="72"/>
      <c r="K60" s="172"/>
      <c r="L60" s="120"/>
    </row>
    <row r="61" spans="1:12" s="81" customFormat="1">
      <c r="A61" s="143" t="s">
        <v>421</v>
      </c>
      <c r="B61" s="144" t="s">
        <v>428</v>
      </c>
      <c r="C61" s="72">
        <v>-2271</v>
      </c>
      <c r="D61" s="72">
        <f>SUM(D62:D71)</f>
        <v>-2141</v>
      </c>
      <c r="E61" s="72">
        <f>SUM(E62:E71)</f>
        <v>-1876</v>
      </c>
      <c r="F61" s="72">
        <f t="shared" si="4"/>
        <v>-1654</v>
      </c>
      <c r="G61" s="72">
        <f>SUM(G62:G71)</f>
        <v>-451</v>
      </c>
      <c r="H61" s="72">
        <f>SUM(H62:H71)</f>
        <v>-418</v>
      </c>
      <c r="I61" s="72">
        <f>SUM(I62:I71)</f>
        <v>-365</v>
      </c>
      <c r="J61" s="72">
        <f>SUM(J62:J71)</f>
        <v>-420</v>
      </c>
      <c r="K61" s="172"/>
      <c r="L61" s="120"/>
    </row>
    <row r="62" spans="1:12" s="81" customFormat="1">
      <c r="A62" s="143" t="s">
        <v>476</v>
      </c>
      <c r="B62" s="144" t="s">
        <v>492</v>
      </c>
      <c r="C62" s="72">
        <v>-95.1</v>
      </c>
      <c r="D62" s="72">
        <v>-101</v>
      </c>
      <c r="E62" s="72">
        <v>-92</v>
      </c>
      <c r="F62" s="72">
        <f t="shared" si="4"/>
        <v>-104</v>
      </c>
      <c r="G62" s="72">
        <v>-26</v>
      </c>
      <c r="H62" s="72">
        <v>-26</v>
      </c>
      <c r="I62" s="72">
        <v>-26</v>
      </c>
      <c r="J62" s="72">
        <v>-26</v>
      </c>
      <c r="K62" s="172" t="s">
        <v>620</v>
      </c>
      <c r="L62" s="120"/>
    </row>
    <row r="63" spans="1:12" s="81" customFormat="1" ht="63" customHeight="1">
      <c r="A63" s="143" t="s">
        <v>573</v>
      </c>
      <c r="B63" s="144" t="s">
        <v>493</v>
      </c>
      <c r="C63" s="72">
        <v>-343.2</v>
      </c>
      <c r="D63" s="72">
        <v>-419</v>
      </c>
      <c r="E63" s="72">
        <v>-275</v>
      </c>
      <c r="F63" s="72">
        <f t="shared" si="4"/>
        <v>-185</v>
      </c>
      <c r="G63" s="72">
        <v>-83</v>
      </c>
      <c r="H63" s="72">
        <v>-34</v>
      </c>
      <c r="I63" s="72">
        <v>-34</v>
      </c>
      <c r="J63" s="72">
        <v>-34</v>
      </c>
      <c r="K63" s="172" t="s">
        <v>824</v>
      </c>
      <c r="L63" s="120"/>
    </row>
    <row r="64" spans="1:12" s="81" customFormat="1" ht="36.75" customHeight="1">
      <c r="A64" s="143" t="s">
        <v>533</v>
      </c>
      <c r="B64" s="144" t="s">
        <v>494</v>
      </c>
      <c r="C64" s="72">
        <v>-794.8</v>
      </c>
      <c r="D64" s="72">
        <v>-870</v>
      </c>
      <c r="E64" s="72">
        <v>-879</v>
      </c>
      <c r="F64" s="72">
        <f t="shared" si="4"/>
        <v>-920</v>
      </c>
      <c r="G64" s="72">
        <v>-230</v>
      </c>
      <c r="H64" s="72">
        <v>-230</v>
      </c>
      <c r="I64" s="72">
        <v>-230</v>
      </c>
      <c r="J64" s="72">
        <v>-230</v>
      </c>
      <c r="K64" s="172" t="s">
        <v>538</v>
      </c>
      <c r="L64" s="120"/>
    </row>
    <row r="65" spans="1:12" s="81" customFormat="1" ht="65.25" customHeight="1">
      <c r="A65" s="143" t="s">
        <v>487</v>
      </c>
      <c r="B65" s="144" t="s">
        <v>495</v>
      </c>
      <c r="C65" s="72">
        <v>-160.4</v>
      </c>
      <c r="D65" s="72">
        <v>-277</v>
      </c>
      <c r="E65" s="72">
        <v>-213</v>
      </c>
      <c r="F65" s="72">
        <f t="shared" si="4"/>
        <v>-170</v>
      </c>
      <c r="G65" s="72">
        <v>-32</v>
      </c>
      <c r="H65" s="72">
        <v>-77</v>
      </c>
      <c r="I65" s="72">
        <v>-3</v>
      </c>
      <c r="J65" s="72">
        <v>-58</v>
      </c>
      <c r="K65" s="172" t="s">
        <v>825</v>
      </c>
      <c r="L65" s="120"/>
    </row>
    <row r="66" spans="1:12" s="81" customFormat="1" ht="38.25" customHeight="1">
      <c r="A66" s="180" t="s">
        <v>635</v>
      </c>
      <c r="B66" s="144" t="s">
        <v>496</v>
      </c>
      <c r="C66" s="72">
        <v>-523.9</v>
      </c>
      <c r="D66" s="72"/>
      <c r="E66" s="72">
        <v>0</v>
      </c>
      <c r="F66" s="72">
        <f t="shared" si="4"/>
        <v>0</v>
      </c>
      <c r="G66" s="72">
        <v>0</v>
      </c>
      <c r="H66" s="72">
        <v>0</v>
      </c>
      <c r="I66" s="72">
        <v>0</v>
      </c>
      <c r="J66" s="72">
        <v>0</v>
      </c>
      <c r="K66" s="172"/>
      <c r="L66" s="120"/>
    </row>
    <row r="67" spans="1:12" s="81" customFormat="1">
      <c r="A67" s="136" t="s">
        <v>474</v>
      </c>
      <c r="B67" s="144" t="s">
        <v>497</v>
      </c>
      <c r="C67" s="72">
        <v>-111.3</v>
      </c>
      <c r="D67" s="72">
        <v>-98</v>
      </c>
      <c r="E67" s="72">
        <v>-100</v>
      </c>
      <c r="F67" s="72">
        <f t="shared" si="4"/>
        <v>-110</v>
      </c>
      <c r="G67" s="72">
        <v>-27</v>
      </c>
      <c r="H67" s="72">
        <v>-27</v>
      </c>
      <c r="I67" s="72">
        <v>-28</v>
      </c>
      <c r="J67" s="72">
        <v>-28</v>
      </c>
      <c r="K67" s="172" t="s">
        <v>685</v>
      </c>
      <c r="L67" s="120"/>
    </row>
    <row r="68" spans="1:12" s="81" customFormat="1" ht="36.75" customHeight="1">
      <c r="A68" s="143" t="s">
        <v>488</v>
      </c>
      <c r="B68" s="144" t="s">
        <v>498</v>
      </c>
      <c r="C68" s="72"/>
      <c r="D68" s="72">
        <v>-12</v>
      </c>
      <c r="E68" s="72">
        <v>0</v>
      </c>
      <c r="F68" s="72">
        <f t="shared" si="4"/>
        <v>-16</v>
      </c>
      <c r="G68" s="72">
        <v>-4</v>
      </c>
      <c r="H68" s="72">
        <v>-4</v>
      </c>
      <c r="I68" s="72">
        <v>-4</v>
      </c>
      <c r="J68" s="72">
        <v>-4</v>
      </c>
      <c r="K68" s="172" t="s">
        <v>611</v>
      </c>
      <c r="L68" s="120"/>
    </row>
    <row r="69" spans="1:12" s="81" customFormat="1" ht="38.25" customHeight="1">
      <c r="A69" s="143" t="s">
        <v>534</v>
      </c>
      <c r="B69" s="144" t="s">
        <v>524</v>
      </c>
      <c r="C69" s="72">
        <v>-90</v>
      </c>
      <c r="D69" s="72"/>
      <c r="E69" s="72"/>
      <c r="F69" s="72"/>
      <c r="G69" s="72"/>
      <c r="H69" s="72"/>
      <c r="I69" s="72"/>
      <c r="J69" s="72"/>
      <c r="K69" s="172"/>
      <c r="L69" s="120"/>
    </row>
    <row r="70" spans="1:12" s="81" customFormat="1" ht="36" customHeight="1">
      <c r="A70" s="143" t="s">
        <v>574</v>
      </c>
      <c r="B70" s="144" t="s">
        <v>549</v>
      </c>
      <c r="C70" s="72">
        <v>-97.5</v>
      </c>
      <c r="D70" s="72">
        <v>-200</v>
      </c>
      <c r="E70" s="72">
        <v>-92</v>
      </c>
      <c r="F70" s="72">
        <f t="shared" si="4"/>
        <v>-149</v>
      </c>
      <c r="G70" s="72">
        <v>-49</v>
      </c>
      <c r="H70" s="72">
        <v>-20</v>
      </c>
      <c r="I70" s="72">
        <v>-40</v>
      </c>
      <c r="J70" s="72">
        <v>-40</v>
      </c>
      <c r="K70" s="172" t="s">
        <v>615</v>
      </c>
      <c r="L70" s="120"/>
    </row>
    <row r="71" spans="1:12" s="81" customFormat="1" ht="54.75" customHeight="1">
      <c r="A71" s="143" t="s">
        <v>554</v>
      </c>
      <c r="B71" s="144" t="s">
        <v>550</v>
      </c>
      <c r="C71" s="72">
        <v>-54.8</v>
      </c>
      <c r="D71" s="72">
        <v>-164</v>
      </c>
      <c r="E71" s="72">
        <v>-225</v>
      </c>
      <c r="F71" s="72">
        <f t="shared" si="4"/>
        <v>0</v>
      </c>
      <c r="G71" s="72"/>
      <c r="H71" s="72"/>
      <c r="I71" s="72"/>
      <c r="J71" s="72"/>
      <c r="K71" s="172"/>
      <c r="L71" s="120"/>
    </row>
    <row r="72" spans="1:12" ht="20.100000000000001" customHeight="1">
      <c r="A72" s="143" t="s">
        <v>190</v>
      </c>
      <c r="B72" s="144">
        <v>1060</v>
      </c>
      <c r="C72" s="73">
        <f>SUM(C73:C79)</f>
        <v>0</v>
      </c>
      <c r="D72" s="73">
        <f>SUM(D73:D79)</f>
        <v>0</v>
      </c>
      <c r="E72" s="73">
        <f t="shared" ref="E72:J72" si="5">SUM(E73:E79)</f>
        <v>0</v>
      </c>
      <c r="F72" s="78">
        <f t="shared" si="4"/>
        <v>0</v>
      </c>
      <c r="G72" s="78"/>
      <c r="H72" s="78">
        <f t="shared" si="5"/>
        <v>0</v>
      </c>
      <c r="I72" s="78">
        <f>SUM(I73:I79)</f>
        <v>0</v>
      </c>
      <c r="J72" s="78">
        <f t="shared" si="5"/>
        <v>0</v>
      </c>
      <c r="K72" s="172"/>
    </row>
    <row r="73" spans="1:12" s="81" customFormat="1" ht="20.100000000000001" customHeight="1">
      <c r="A73" s="143" t="s">
        <v>156</v>
      </c>
      <c r="B73" s="144">
        <v>1061</v>
      </c>
      <c r="C73" s="73" t="s">
        <v>251</v>
      </c>
      <c r="D73" s="73" t="s">
        <v>251</v>
      </c>
      <c r="E73" s="73" t="s">
        <v>251</v>
      </c>
      <c r="F73" s="78">
        <f t="shared" si="4"/>
        <v>0</v>
      </c>
      <c r="G73" s="78">
        <v>0</v>
      </c>
      <c r="H73" s="78">
        <v>0</v>
      </c>
      <c r="I73" s="78">
        <v>0</v>
      </c>
      <c r="J73" s="78">
        <v>0</v>
      </c>
      <c r="K73" s="172"/>
      <c r="L73" s="120"/>
    </row>
    <row r="74" spans="1:12" s="81" customFormat="1" ht="20.100000000000001" customHeight="1">
      <c r="A74" s="143" t="s">
        <v>157</v>
      </c>
      <c r="B74" s="144">
        <v>1062</v>
      </c>
      <c r="C74" s="73" t="s">
        <v>251</v>
      </c>
      <c r="D74" s="73" t="s">
        <v>251</v>
      </c>
      <c r="E74" s="73" t="s">
        <v>251</v>
      </c>
      <c r="F74" s="78">
        <f t="shared" si="4"/>
        <v>0</v>
      </c>
      <c r="G74" s="78">
        <v>0</v>
      </c>
      <c r="H74" s="78">
        <v>0</v>
      </c>
      <c r="I74" s="78">
        <v>0</v>
      </c>
      <c r="J74" s="78">
        <v>0</v>
      </c>
      <c r="K74" s="172"/>
      <c r="L74" s="120"/>
    </row>
    <row r="75" spans="1:12" s="81" customFormat="1" ht="20.100000000000001" customHeight="1">
      <c r="A75" s="143" t="s">
        <v>38</v>
      </c>
      <c r="B75" s="144">
        <v>1063</v>
      </c>
      <c r="C75" s="73" t="s">
        <v>251</v>
      </c>
      <c r="D75" s="73" t="s">
        <v>251</v>
      </c>
      <c r="E75" s="73" t="s">
        <v>251</v>
      </c>
      <c r="F75" s="78">
        <f t="shared" si="4"/>
        <v>0</v>
      </c>
      <c r="G75" s="78">
        <v>0</v>
      </c>
      <c r="H75" s="78">
        <v>0</v>
      </c>
      <c r="I75" s="78">
        <v>0</v>
      </c>
      <c r="J75" s="78">
        <v>0</v>
      </c>
      <c r="K75" s="172"/>
      <c r="L75" s="120"/>
    </row>
    <row r="76" spans="1:12" s="81" customFormat="1" ht="20.100000000000001" customHeight="1">
      <c r="A76" s="143" t="s">
        <v>39</v>
      </c>
      <c r="B76" s="144">
        <v>1064</v>
      </c>
      <c r="C76" s="73" t="s">
        <v>251</v>
      </c>
      <c r="D76" s="73" t="s">
        <v>251</v>
      </c>
      <c r="E76" s="73" t="s">
        <v>251</v>
      </c>
      <c r="F76" s="78">
        <f t="shared" si="4"/>
        <v>0</v>
      </c>
      <c r="G76" s="78">
        <v>0</v>
      </c>
      <c r="H76" s="78">
        <v>0</v>
      </c>
      <c r="I76" s="78">
        <v>0</v>
      </c>
      <c r="J76" s="78">
        <v>0</v>
      </c>
      <c r="K76" s="172"/>
      <c r="L76" s="120"/>
    </row>
    <row r="77" spans="1:12" s="81" customFormat="1" ht="20.100000000000001" customHeight="1">
      <c r="A77" s="143" t="s">
        <v>60</v>
      </c>
      <c r="B77" s="144">
        <v>1065</v>
      </c>
      <c r="C77" s="73" t="s">
        <v>251</v>
      </c>
      <c r="D77" s="73" t="s">
        <v>251</v>
      </c>
      <c r="E77" s="73" t="s">
        <v>251</v>
      </c>
      <c r="F77" s="78">
        <f t="shared" si="4"/>
        <v>0</v>
      </c>
      <c r="G77" s="78">
        <v>0</v>
      </c>
      <c r="H77" s="78">
        <v>0</v>
      </c>
      <c r="I77" s="78">
        <v>0</v>
      </c>
      <c r="J77" s="78">
        <v>0</v>
      </c>
      <c r="K77" s="172"/>
      <c r="L77" s="120"/>
    </row>
    <row r="78" spans="1:12" s="81" customFormat="1" ht="20.100000000000001" customHeight="1">
      <c r="A78" s="143" t="s">
        <v>82</v>
      </c>
      <c r="B78" s="144">
        <v>1066</v>
      </c>
      <c r="C78" s="73" t="s">
        <v>251</v>
      </c>
      <c r="D78" s="73" t="s">
        <v>251</v>
      </c>
      <c r="E78" s="73" t="s">
        <v>251</v>
      </c>
      <c r="F78" s="78">
        <f t="shared" si="4"/>
        <v>0</v>
      </c>
      <c r="G78" s="78">
        <v>0</v>
      </c>
      <c r="H78" s="78">
        <v>0</v>
      </c>
      <c r="I78" s="78">
        <v>0</v>
      </c>
      <c r="J78" s="78">
        <v>0</v>
      </c>
      <c r="K78" s="172"/>
      <c r="L78" s="120"/>
    </row>
    <row r="79" spans="1:12" s="81" customFormat="1" ht="20.100000000000001" customHeight="1">
      <c r="A79" s="143" t="s">
        <v>120</v>
      </c>
      <c r="B79" s="144">
        <v>1067</v>
      </c>
      <c r="C79" s="72" t="s">
        <v>251</v>
      </c>
      <c r="D79" s="78" t="s">
        <v>251</v>
      </c>
      <c r="E79" s="78" t="s">
        <v>251</v>
      </c>
      <c r="F79" s="78">
        <f>SUM(G79:J79)</f>
        <v>0</v>
      </c>
      <c r="G79" s="78">
        <v>0</v>
      </c>
      <c r="H79" s="78">
        <v>0</v>
      </c>
      <c r="I79" s="78">
        <v>0</v>
      </c>
      <c r="J79" s="78">
        <v>0</v>
      </c>
      <c r="K79" s="172"/>
      <c r="L79" s="120"/>
    </row>
    <row r="80" spans="1:12" s="81" customFormat="1" ht="20.100000000000001" customHeight="1">
      <c r="A80" s="176" t="s">
        <v>295</v>
      </c>
      <c r="B80" s="144">
        <v>1070</v>
      </c>
      <c r="C80" s="72">
        <f>SUM(C81:C83)</f>
        <v>194801</v>
      </c>
      <c r="D80" s="72">
        <f>SUM(D81:D83)</f>
        <v>195630</v>
      </c>
      <c r="E80" s="72">
        <f>SUM(E81:E83)</f>
        <v>167424</v>
      </c>
      <c r="F80" s="72">
        <f t="shared" si="4"/>
        <v>206668</v>
      </c>
      <c r="G80" s="72">
        <f>SUM(G81:G83)</f>
        <v>49595</v>
      </c>
      <c r="H80" s="72">
        <f>SUM(H81:H83)</f>
        <v>51310</v>
      </c>
      <c r="I80" s="72">
        <f>SUM(I81:I83)</f>
        <v>58841</v>
      </c>
      <c r="J80" s="72">
        <f>SUM(J81:J83)</f>
        <v>46922</v>
      </c>
      <c r="K80" s="172"/>
      <c r="L80" s="120"/>
    </row>
    <row r="81" spans="1:12" s="81" customFormat="1" ht="20.100000000000001" customHeight="1">
      <c r="A81" s="143" t="s">
        <v>185</v>
      </c>
      <c r="B81" s="144">
        <v>1071</v>
      </c>
      <c r="C81" s="72">
        <v>194.6</v>
      </c>
      <c r="D81" s="72">
        <v>190</v>
      </c>
      <c r="E81" s="72">
        <v>204</v>
      </c>
      <c r="F81" s="72">
        <f t="shared" ref="F81:F93" si="6">SUM(G81:J81)</f>
        <v>200</v>
      </c>
      <c r="G81" s="72">
        <v>50</v>
      </c>
      <c r="H81" s="72">
        <v>50</v>
      </c>
      <c r="I81" s="72">
        <v>50</v>
      </c>
      <c r="J81" s="72">
        <v>50</v>
      </c>
      <c r="K81" s="175" t="s">
        <v>539</v>
      </c>
      <c r="L81" s="120"/>
    </row>
    <row r="82" spans="1:12" s="81" customFormat="1" ht="20.100000000000001" customHeight="1">
      <c r="A82" s="143" t="s">
        <v>296</v>
      </c>
      <c r="B82" s="144">
        <v>1072</v>
      </c>
      <c r="C82" s="72"/>
      <c r="D82" s="72"/>
      <c r="E82" s="72"/>
      <c r="F82" s="72">
        <f t="shared" si="6"/>
        <v>0</v>
      </c>
      <c r="G82" s="72">
        <v>0</v>
      </c>
      <c r="H82" s="72">
        <v>0</v>
      </c>
      <c r="I82" s="72">
        <v>0</v>
      </c>
      <c r="J82" s="72">
        <v>0</v>
      </c>
      <c r="K82" s="172"/>
      <c r="L82" s="120"/>
    </row>
    <row r="83" spans="1:12" s="81" customFormat="1" ht="20.100000000000001" customHeight="1">
      <c r="A83" s="143" t="s">
        <v>297</v>
      </c>
      <c r="B83" s="144">
        <v>1073</v>
      </c>
      <c r="C83" s="72">
        <v>194606.4</v>
      </c>
      <c r="D83" s="72">
        <f>D84+D88</f>
        <v>195440</v>
      </c>
      <c r="E83" s="72">
        <f>E84+E88</f>
        <v>167220</v>
      </c>
      <c r="F83" s="72">
        <f>SUM(G83:J83)</f>
        <v>206468</v>
      </c>
      <c r="G83" s="72">
        <f>G84+G88</f>
        <v>49545</v>
      </c>
      <c r="H83" s="72">
        <f>H84+H88</f>
        <v>51260</v>
      </c>
      <c r="I83" s="72">
        <f>I84+I88</f>
        <v>58791</v>
      </c>
      <c r="J83" s="72">
        <f>J84+J88</f>
        <v>46872</v>
      </c>
      <c r="K83" s="172"/>
      <c r="L83" s="120"/>
    </row>
    <row r="84" spans="1:12" s="81" customFormat="1">
      <c r="A84" s="143" t="s">
        <v>511</v>
      </c>
      <c r="B84" s="144" t="s">
        <v>436</v>
      </c>
      <c r="C84" s="72">
        <v>189310.6</v>
      </c>
      <c r="D84" s="72">
        <f>D86</f>
        <v>192166</v>
      </c>
      <c r="E84" s="72">
        <f>SUM(E85:E87)</f>
        <v>158178</v>
      </c>
      <c r="F84" s="72">
        <f t="shared" si="6"/>
        <v>198794</v>
      </c>
      <c r="G84" s="72">
        <v>47698</v>
      </c>
      <c r="H84" s="72">
        <f>H86</f>
        <v>49151</v>
      </c>
      <c r="I84" s="72">
        <v>56782</v>
      </c>
      <c r="J84" s="72">
        <f t="shared" ref="J84" si="7">J86</f>
        <v>45163</v>
      </c>
      <c r="K84" s="172"/>
      <c r="L84" s="120"/>
    </row>
    <row r="85" spans="1:12" s="81" customFormat="1" ht="37.5">
      <c r="A85" s="143" t="s">
        <v>626</v>
      </c>
      <c r="B85" s="144" t="s">
        <v>512</v>
      </c>
      <c r="C85" s="72">
        <f>C84-C86</f>
        <v>63144.700000000012</v>
      </c>
      <c r="D85" s="72"/>
      <c r="E85" s="72"/>
      <c r="F85" s="72"/>
      <c r="G85" s="72"/>
      <c r="H85" s="72"/>
      <c r="I85" s="72"/>
      <c r="J85" s="72"/>
      <c r="K85" s="172" t="s">
        <v>626</v>
      </c>
      <c r="L85" s="120"/>
    </row>
    <row r="86" spans="1:12" s="81" customFormat="1" ht="74.25" customHeight="1">
      <c r="A86" s="181" t="s">
        <v>516</v>
      </c>
      <c r="B86" s="144" t="s">
        <v>625</v>
      </c>
      <c r="C86" s="72">
        <v>126165.9</v>
      </c>
      <c r="D86" s="72">
        <v>192166</v>
      </c>
      <c r="E86" s="72">
        <v>158125</v>
      </c>
      <c r="F86" s="72">
        <f t="shared" si="6"/>
        <v>199094</v>
      </c>
      <c r="G86" s="72">
        <v>47698</v>
      </c>
      <c r="H86" s="72">
        <v>49151</v>
      </c>
      <c r="I86" s="72">
        <v>57082</v>
      </c>
      <c r="J86" s="72">
        <v>45163</v>
      </c>
      <c r="K86" s="172" t="s">
        <v>612</v>
      </c>
      <c r="L86" s="120"/>
    </row>
    <row r="87" spans="1:12" s="81" customFormat="1" ht="74.25" customHeight="1">
      <c r="A87" s="181" t="s">
        <v>703</v>
      </c>
      <c r="B87" s="144" t="s">
        <v>702</v>
      </c>
      <c r="C87" s="72"/>
      <c r="D87" s="72"/>
      <c r="E87" s="72">
        <v>53</v>
      </c>
      <c r="F87" s="72"/>
      <c r="G87" s="72"/>
      <c r="H87" s="72"/>
      <c r="I87" s="72"/>
      <c r="J87" s="72"/>
      <c r="K87" s="172"/>
      <c r="L87" s="120"/>
    </row>
    <row r="88" spans="1:12" s="81" customFormat="1" ht="45.75" customHeight="1">
      <c r="A88" s="143" t="s">
        <v>421</v>
      </c>
      <c r="B88" s="144" t="s">
        <v>437</v>
      </c>
      <c r="C88" s="72">
        <v>5295.8</v>
      </c>
      <c r="D88" s="72">
        <v>3274</v>
      </c>
      <c r="E88" s="72">
        <v>9042</v>
      </c>
      <c r="F88" s="72">
        <f>SUM(G88:J88)</f>
        <v>7674</v>
      </c>
      <c r="G88" s="72">
        <v>1847</v>
      </c>
      <c r="H88" s="72">
        <v>2109</v>
      </c>
      <c r="I88" s="72">
        <v>2009</v>
      </c>
      <c r="J88" s="72">
        <v>1709</v>
      </c>
      <c r="K88" s="172" t="s">
        <v>681</v>
      </c>
      <c r="L88" s="120"/>
    </row>
    <row r="89" spans="1:12" s="81" customFormat="1" ht="20.100000000000001" customHeight="1">
      <c r="A89" s="182" t="s">
        <v>84</v>
      </c>
      <c r="B89" s="144">
        <v>1080</v>
      </c>
      <c r="C89" s="72">
        <v>-13299.999999999998</v>
      </c>
      <c r="D89" s="72">
        <f>D90+D95</f>
        <v>-17595</v>
      </c>
      <c r="E89" s="72">
        <f>SUM(E90:E95)</f>
        <v>-14453</v>
      </c>
      <c r="F89" s="72">
        <f t="shared" si="4"/>
        <v>-17767</v>
      </c>
      <c r="G89" s="72">
        <f>SUM(G90:G95)</f>
        <v>-2894</v>
      </c>
      <c r="H89" s="72">
        <f>SUM(H90:H95)</f>
        <v>-4825</v>
      </c>
      <c r="I89" s="72">
        <f>SUM(I90:I95)</f>
        <v>-6080</v>
      </c>
      <c r="J89" s="72">
        <f>SUM(J90:J95)</f>
        <v>-3968</v>
      </c>
      <c r="K89" s="172"/>
      <c r="L89" s="120"/>
    </row>
    <row r="90" spans="1:12" s="81" customFormat="1" ht="20.100000000000001" customHeight="1">
      <c r="A90" s="143" t="s">
        <v>185</v>
      </c>
      <c r="B90" s="144">
        <v>1081</v>
      </c>
      <c r="C90" s="72">
        <v>-151.69999999999999</v>
      </c>
      <c r="D90" s="72">
        <v>-164</v>
      </c>
      <c r="E90" s="72">
        <v>-252</v>
      </c>
      <c r="F90" s="72">
        <f t="shared" si="6"/>
        <v>-151</v>
      </c>
      <c r="G90" s="72">
        <v>-37</v>
      </c>
      <c r="H90" s="72">
        <v>-38</v>
      </c>
      <c r="I90" s="72">
        <v>-38</v>
      </c>
      <c r="J90" s="72">
        <v>-38</v>
      </c>
      <c r="K90" s="175" t="s">
        <v>614</v>
      </c>
      <c r="L90" s="120"/>
    </row>
    <row r="91" spans="1:12" s="81" customFormat="1" ht="20.100000000000001" customHeight="1">
      <c r="A91" s="143" t="s">
        <v>298</v>
      </c>
      <c r="B91" s="144">
        <v>1082</v>
      </c>
      <c r="C91" s="73" t="s">
        <v>251</v>
      </c>
      <c r="D91" s="78" t="s">
        <v>251</v>
      </c>
      <c r="E91" s="78" t="s">
        <v>251</v>
      </c>
      <c r="F91" s="78">
        <f t="shared" si="6"/>
        <v>0</v>
      </c>
      <c r="G91" s="78">
        <v>0</v>
      </c>
      <c r="H91" s="78">
        <v>0</v>
      </c>
      <c r="I91" s="78">
        <v>0</v>
      </c>
      <c r="J91" s="78">
        <v>0</v>
      </c>
      <c r="K91" s="172"/>
      <c r="L91" s="120"/>
    </row>
    <row r="92" spans="1:12" s="81" customFormat="1" ht="20.100000000000001" customHeight="1">
      <c r="A92" s="143" t="s">
        <v>68</v>
      </c>
      <c r="B92" s="144">
        <v>1083</v>
      </c>
      <c r="C92" s="73" t="s">
        <v>251</v>
      </c>
      <c r="D92" s="73" t="s">
        <v>251</v>
      </c>
      <c r="E92" s="73" t="s">
        <v>251</v>
      </c>
      <c r="F92" s="78">
        <f t="shared" si="6"/>
        <v>0</v>
      </c>
      <c r="G92" s="78">
        <v>0</v>
      </c>
      <c r="H92" s="78">
        <v>0</v>
      </c>
      <c r="I92" s="78">
        <v>0</v>
      </c>
      <c r="J92" s="78">
        <v>0</v>
      </c>
      <c r="K92" s="172"/>
      <c r="L92" s="120"/>
    </row>
    <row r="93" spans="1:12" s="81" customFormat="1" ht="20.100000000000001" customHeight="1">
      <c r="A93" s="143" t="s">
        <v>50</v>
      </c>
      <c r="B93" s="144">
        <v>1084</v>
      </c>
      <c r="C93" s="73" t="s">
        <v>251</v>
      </c>
      <c r="D93" s="78" t="s">
        <v>251</v>
      </c>
      <c r="E93" s="78" t="s">
        <v>251</v>
      </c>
      <c r="F93" s="78">
        <f t="shared" si="6"/>
        <v>0</v>
      </c>
      <c r="G93" s="78">
        <v>0</v>
      </c>
      <c r="H93" s="78">
        <v>0</v>
      </c>
      <c r="I93" s="78">
        <v>0</v>
      </c>
      <c r="J93" s="78">
        <v>0</v>
      </c>
      <c r="K93" s="172"/>
      <c r="L93" s="120"/>
    </row>
    <row r="94" spans="1:12" s="81" customFormat="1" ht="20.100000000000001" customHeight="1">
      <c r="A94" s="143" t="s">
        <v>58</v>
      </c>
      <c r="B94" s="144">
        <v>1085</v>
      </c>
      <c r="C94" s="73" t="s">
        <v>251</v>
      </c>
      <c r="D94" s="78" t="s">
        <v>251</v>
      </c>
      <c r="E94" s="78" t="s">
        <v>251</v>
      </c>
      <c r="F94" s="78">
        <f t="shared" si="4"/>
        <v>0</v>
      </c>
      <c r="G94" s="78">
        <v>0</v>
      </c>
      <c r="H94" s="78">
        <v>0</v>
      </c>
      <c r="I94" s="78">
        <v>0</v>
      </c>
      <c r="J94" s="78">
        <v>0</v>
      </c>
      <c r="K94" s="172"/>
      <c r="L94" s="120"/>
    </row>
    <row r="95" spans="1:12" s="81" customFormat="1" ht="20.100000000000001" customHeight="1">
      <c r="A95" s="143" t="s">
        <v>202</v>
      </c>
      <c r="B95" s="144">
        <v>1086</v>
      </c>
      <c r="C95" s="72">
        <v>-13148.299999999997</v>
      </c>
      <c r="D95" s="72">
        <f>SUM(D96:D105)</f>
        <v>-17431</v>
      </c>
      <c r="E95" s="72">
        <f>SUM(E96:E105)</f>
        <v>-14201</v>
      </c>
      <c r="F95" s="72">
        <f>SUM(G95:J95)</f>
        <v>-17616</v>
      </c>
      <c r="G95" s="72">
        <f t="shared" ref="G95:J95" si="8">SUM(G96:G105)</f>
        <v>-2857</v>
      </c>
      <c r="H95" s="72">
        <f t="shared" si="8"/>
        <v>-4787</v>
      </c>
      <c r="I95" s="72">
        <f t="shared" si="8"/>
        <v>-6042</v>
      </c>
      <c r="J95" s="72">
        <f t="shared" si="8"/>
        <v>-3930</v>
      </c>
      <c r="K95" s="172"/>
      <c r="L95" s="120"/>
    </row>
    <row r="96" spans="1:12" s="81" customFormat="1" ht="49.5" customHeight="1">
      <c r="A96" s="143" t="s">
        <v>430</v>
      </c>
      <c r="B96" s="144" t="s">
        <v>429</v>
      </c>
      <c r="C96" s="72">
        <v>-5563.9</v>
      </c>
      <c r="D96" s="72">
        <v>-6983</v>
      </c>
      <c r="E96" s="72">
        <v>-6211</v>
      </c>
      <c r="F96" s="72">
        <f t="shared" si="4"/>
        <v>-7466</v>
      </c>
      <c r="G96" s="72">
        <v>-1771</v>
      </c>
      <c r="H96" s="72">
        <v>-1932</v>
      </c>
      <c r="I96" s="72">
        <v>-1921</v>
      </c>
      <c r="J96" s="72">
        <v>-1842</v>
      </c>
      <c r="K96" s="172" t="s">
        <v>621</v>
      </c>
      <c r="L96" s="120"/>
    </row>
    <row r="97" spans="1:12" s="81" customFormat="1" ht="30.75" customHeight="1">
      <c r="A97" s="143" t="s">
        <v>431</v>
      </c>
      <c r="B97" s="144" t="s">
        <v>433</v>
      </c>
      <c r="C97" s="72">
        <v>-5591.7</v>
      </c>
      <c r="D97" s="72">
        <v>-6906</v>
      </c>
      <c r="E97" s="72">
        <v>-5315</v>
      </c>
      <c r="F97" s="72">
        <f t="shared" si="4"/>
        <v>-6053</v>
      </c>
      <c r="G97" s="72">
        <v>-577</v>
      </c>
      <c r="H97" s="72">
        <v>-2062</v>
      </c>
      <c r="I97" s="72">
        <v>-2011</v>
      </c>
      <c r="J97" s="72">
        <v>-1403</v>
      </c>
      <c r="K97" s="172" t="s">
        <v>622</v>
      </c>
      <c r="L97" s="120"/>
    </row>
    <row r="98" spans="1:12" s="81" customFormat="1" ht="20.100000000000001" customHeight="1">
      <c r="A98" s="143" t="s">
        <v>432</v>
      </c>
      <c r="B98" s="144" t="s">
        <v>434</v>
      </c>
      <c r="C98" s="72">
        <v>-285.39999999999998</v>
      </c>
      <c r="D98" s="72">
        <v>-310</v>
      </c>
      <c r="E98" s="72">
        <v>-251</v>
      </c>
      <c r="F98" s="72">
        <f t="shared" si="4"/>
        <v>-313</v>
      </c>
      <c r="G98" s="72">
        <v>-70</v>
      </c>
      <c r="H98" s="72">
        <v>-66</v>
      </c>
      <c r="I98" s="72">
        <v>-77</v>
      </c>
      <c r="J98" s="72">
        <v>-100</v>
      </c>
      <c r="K98" s="175" t="s">
        <v>540</v>
      </c>
      <c r="L98" s="120"/>
    </row>
    <row r="99" spans="1:12" s="81" customFormat="1" ht="20.100000000000001" customHeight="1">
      <c r="A99" s="143" t="s">
        <v>636</v>
      </c>
      <c r="B99" s="144" t="s">
        <v>435</v>
      </c>
      <c r="C99" s="72">
        <v>-1154.9000000000001</v>
      </c>
      <c r="D99" s="72">
        <v>-1587</v>
      </c>
      <c r="E99" s="72">
        <v>-1061</v>
      </c>
      <c r="F99" s="72">
        <f t="shared" si="4"/>
        <v>-1400</v>
      </c>
      <c r="G99" s="72">
        <v>-142</v>
      </c>
      <c r="H99" s="72">
        <v>-468</v>
      </c>
      <c r="I99" s="72">
        <v>-459</v>
      </c>
      <c r="J99" s="72">
        <v>-331</v>
      </c>
      <c r="K99" s="175" t="s">
        <v>540</v>
      </c>
      <c r="L99" s="120"/>
    </row>
    <row r="100" spans="1:12" s="81" customFormat="1" ht="22.5" customHeight="1">
      <c r="A100" s="143" t="s">
        <v>421</v>
      </c>
      <c r="B100" s="144" t="s">
        <v>460</v>
      </c>
      <c r="C100" s="72">
        <v>-295.5</v>
      </c>
      <c r="D100" s="72">
        <v>-217</v>
      </c>
      <c r="E100" s="72">
        <v>-138</v>
      </c>
      <c r="F100" s="72">
        <f t="shared" si="4"/>
        <v>-127</v>
      </c>
      <c r="G100" s="72">
        <v>-39</v>
      </c>
      <c r="H100" s="72">
        <v>-31</v>
      </c>
      <c r="I100" s="72">
        <v>-31</v>
      </c>
      <c r="J100" s="72">
        <v>-26</v>
      </c>
      <c r="K100" s="172"/>
      <c r="L100" s="120"/>
    </row>
    <row r="101" spans="1:12" s="81" customFormat="1">
      <c r="A101" s="143" t="s">
        <v>677</v>
      </c>
      <c r="B101" s="144" t="s">
        <v>509</v>
      </c>
      <c r="C101" s="72">
        <v>-108.3</v>
      </c>
      <c r="D101" s="72">
        <v>-81</v>
      </c>
      <c r="E101" s="72">
        <v>-99</v>
      </c>
      <c r="F101" s="72">
        <f t="shared" si="4"/>
        <v>-108</v>
      </c>
      <c r="G101" s="72">
        <v>-27</v>
      </c>
      <c r="H101" s="72">
        <v>-27</v>
      </c>
      <c r="I101" s="72">
        <v>-27</v>
      </c>
      <c r="J101" s="72">
        <v>-27</v>
      </c>
      <c r="K101" s="172" t="s">
        <v>613</v>
      </c>
      <c r="L101" s="120"/>
    </row>
    <row r="102" spans="1:12" s="81" customFormat="1" ht="34.5" customHeight="1">
      <c r="A102" s="143" t="s">
        <v>678</v>
      </c>
      <c r="B102" s="144" t="s">
        <v>525</v>
      </c>
      <c r="C102" s="72">
        <v>-148.6</v>
      </c>
      <c r="D102" s="72">
        <v>-762</v>
      </c>
      <c r="E102" s="72">
        <v>-967</v>
      </c>
      <c r="F102" s="72">
        <f t="shared" si="4"/>
        <v>-804</v>
      </c>
      <c r="G102" s="72">
        <v>-201</v>
      </c>
      <c r="H102" s="72">
        <v>-201</v>
      </c>
      <c r="I102" s="72">
        <v>-201</v>
      </c>
      <c r="J102" s="72">
        <v>-201</v>
      </c>
      <c r="K102" s="172" t="s">
        <v>627</v>
      </c>
      <c r="L102" s="120"/>
    </row>
    <row r="103" spans="1:12" s="81" customFormat="1" ht="120" customHeight="1">
      <c r="A103" s="143" t="s">
        <v>694</v>
      </c>
      <c r="B103" s="144" t="s">
        <v>575</v>
      </c>
      <c r="C103" s="72"/>
      <c r="D103" s="72"/>
      <c r="E103" s="72"/>
      <c r="F103" s="72">
        <f t="shared" si="4"/>
        <v>-1100</v>
      </c>
      <c r="G103" s="72">
        <v>0</v>
      </c>
      <c r="H103" s="72">
        <v>0</v>
      </c>
      <c r="I103" s="72">
        <v>-1100</v>
      </c>
      <c r="J103" s="72">
        <v>0</v>
      </c>
      <c r="K103" s="172" t="s">
        <v>827</v>
      </c>
      <c r="L103" s="120"/>
    </row>
    <row r="104" spans="1:12" s="81" customFormat="1" ht="45">
      <c r="A104" s="143" t="s">
        <v>679</v>
      </c>
      <c r="B104" s="144" t="s">
        <v>641</v>
      </c>
      <c r="C104" s="72"/>
      <c r="D104" s="72">
        <v>-485</v>
      </c>
      <c r="E104" s="72">
        <v>-80</v>
      </c>
      <c r="F104" s="72">
        <f t="shared" si="4"/>
        <v>-245</v>
      </c>
      <c r="G104" s="72">
        <v>-30</v>
      </c>
      <c r="H104" s="72">
        <v>0</v>
      </c>
      <c r="I104" s="72">
        <v>-215</v>
      </c>
      <c r="J104" s="72">
        <v>0</v>
      </c>
      <c r="K104" s="172" t="s">
        <v>826</v>
      </c>
      <c r="L104" s="120"/>
    </row>
    <row r="105" spans="1:12" s="81" customFormat="1">
      <c r="A105" s="143" t="s">
        <v>680</v>
      </c>
      <c r="B105" s="144" t="s">
        <v>693</v>
      </c>
      <c r="C105" s="72"/>
      <c r="D105" s="72">
        <v>-100</v>
      </c>
      <c r="E105" s="72">
        <v>-79</v>
      </c>
      <c r="F105" s="72"/>
      <c r="G105" s="72"/>
      <c r="H105" s="72"/>
      <c r="I105" s="72"/>
      <c r="J105" s="72"/>
      <c r="K105" s="172"/>
      <c r="L105" s="120"/>
    </row>
    <row r="106" spans="1:12" s="4" customFormat="1" ht="20.100000000000001" customHeight="1">
      <c r="A106" s="176" t="s">
        <v>4</v>
      </c>
      <c r="B106" s="177">
        <v>1100</v>
      </c>
      <c r="C106" s="79">
        <f t="shared" ref="C106:J106" si="9">SUM(C34,C35,C72,C80,C89)</f>
        <v>7505.0000000000018</v>
      </c>
      <c r="D106" s="79">
        <f t="shared" si="9"/>
        <v>-12316</v>
      </c>
      <c r="E106" s="79">
        <f t="shared" si="9"/>
        <v>-6112</v>
      </c>
      <c r="F106" s="79">
        <f t="shared" si="9"/>
        <v>-9462</v>
      </c>
      <c r="G106" s="79">
        <f t="shared" si="9"/>
        <v>-1684</v>
      </c>
      <c r="H106" s="79">
        <f t="shared" si="9"/>
        <v>-2403</v>
      </c>
      <c r="I106" s="79">
        <f t="shared" si="9"/>
        <v>-2436</v>
      </c>
      <c r="J106" s="79">
        <f t="shared" si="9"/>
        <v>-2939</v>
      </c>
      <c r="K106" s="178"/>
      <c r="L106" s="120"/>
    </row>
    <row r="107" spans="1:12" ht="20.100000000000001" customHeight="1">
      <c r="A107" s="143" t="s">
        <v>110</v>
      </c>
      <c r="B107" s="144">
        <v>1110</v>
      </c>
      <c r="C107" s="73"/>
      <c r="D107" s="73"/>
      <c r="E107" s="73"/>
      <c r="F107" s="73">
        <f t="shared" si="4"/>
        <v>0</v>
      </c>
      <c r="G107" s="73">
        <v>0</v>
      </c>
      <c r="H107" s="73">
        <v>0</v>
      </c>
      <c r="I107" s="73">
        <v>0</v>
      </c>
      <c r="J107" s="73">
        <v>0</v>
      </c>
      <c r="K107" s="172"/>
    </row>
    <row r="108" spans="1:12" ht="20.100000000000001" customHeight="1">
      <c r="A108" s="143" t="s">
        <v>114</v>
      </c>
      <c r="B108" s="144">
        <v>1120</v>
      </c>
      <c r="C108" s="73" t="s">
        <v>251</v>
      </c>
      <c r="D108" s="73" t="s">
        <v>251</v>
      </c>
      <c r="E108" s="73" t="s">
        <v>251</v>
      </c>
      <c r="F108" s="73">
        <f>SUM(G108:J108)</f>
        <v>0</v>
      </c>
      <c r="G108" s="73">
        <v>0</v>
      </c>
      <c r="H108" s="73">
        <v>0</v>
      </c>
      <c r="I108" s="73">
        <v>0</v>
      </c>
      <c r="J108" s="73">
        <v>0</v>
      </c>
      <c r="K108" s="172"/>
    </row>
    <row r="109" spans="1:12" ht="20.100000000000001" customHeight="1">
      <c r="A109" s="143" t="s">
        <v>111</v>
      </c>
      <c r="B109" s="144">
        <v>1130</v>
      </c>
      <c r="C109" s="73"/>
      <c r="D109" s="73"/>
      <c r="E109" s="73"/>
      <c r="F109" s="73">
        <f t="shared" si="4"/>
        <v>0</v>
      </c>
      <c r="G109" s="73">
        <v>0</v>
      </c>
      <c r="H109" s="73">
        <v>0</v>
      </c>
      <c r="I109" s="73">
        <v>0</v>
      </c>
      <c r="J109" s="73">
        <v>0</v>
      </c>
      <c r="K109" s="172"/>
    </row>
    <row r="110" spans="1:12" ht="20.100000000000001" customHeight="1">
      <c r="A110" s="176" t="s">
        <v>113</v>
      </c>
      <c r="B110" s="144">
        <v>1140</v>
      </c>
      <c r="C110" s="73" t="s">
        <v>251</v>
      </c>
      <c r="D110" s="73" t="s">
        <v>251</v>
      </c>
      <c r="E110" s="73" t="s">
        <v>251</v>
      </c>
      <c r="F110" s="73">
        <f>SUM(G110:J110)</f>
        <v>0</v>
      </c>
      <c r="G110" s="73">
        <v>0</v>
      </c>
      <c r="H110" s="73">
        <v>0</v>
      </c>
      <c r="I110" s="73">
        <v>0</v>
      </c>
      <c r="J110" s="73">
        <v>0</v>
      </c>
      <c r="K110" s="172"/>
    </row>
    <row r="111" spans="1:12" ht="20.100000000000001" customHeight="1">
      <c r="A111" s="143" t="s">
        <v>257</v>
      </c>
      <c r="B111" s="144">
        <v>1150</v>
      </c>
      <c r="C111" s="183">
        <f>SUM(C112:C116)</f>
        <v>9361</v>
      </c>
      <c r="D111" s="72">
        <f>SUM(D112:D116)</f>
        <v>15610</v>
      </c>
      <c r="E111" s="173">
        <f>SUM(E112:E116)</f>
        <v>15129</v>
      </c>
      <c r="F111" s="72">
        <f t="shared" si="4"/>
        <v>17602</v>
      </c>
      <c r="G111" s="72">
        <f t="shared" ref="G111:J111" si="10">SUM(G112:G116)</f>
        <v>3609</v>
      </c>
      <c r="H111" s="72">
        <f t="shared" si="10"/>
        <v>4692</v>
      </c>
      <c r="I111" s="72">
        <f t="shared" si="10"/>
        <v>4549</v>
      </c>
      <c r="J111" s="72">
        <f t="shared" si="10"/>
        <v>4752</v>
      </c>
      <c r="K111" s="172"/>
    </row>
    <row r="112" spans="1:12" ht="20.100000000000001" customHeight="1">
      <c r="A112" s="143" t="s">
        <v>185</v>
      </c>
      <c r="B112" s="144">
        <v>1151</v>
      </c>
      <c r="C112" s="78"/>
      <c r="D112" s="72"/>
      <c r="E112" s="72"/>
      <c r="F112" s="72">
        <f t="shared" si="4"/>
        <v>0</v>
      </c>
      <c r="G112" s="72">
        <v>0</v>
      </c>
      <c r="H112" s="72">
        <v>0</v>
      </c>
      <c r="I112" s="72">
        <v>0</v>
      </c>
      <c r="J112" s="72">
        <v>0</v>
      </c>
      <c r="K112" s="172"/>
    </row>
    <row r="113" spans="1:11" ht="42.75" customHeight="1">
      <c r="A113" s="143" t="s">
        <v>638</v>
      </c>
      <c r="B113" s="144" t="s">
        <v>551</v>
      </c>
      <c r="C113" s="78">
        <v>7401.6</v>
      </c>
      <c r="D113" s="72">
        <v>8300</v>
      </c>
      <c r="E113" s="72">
        <v>7952</v>
      </c>
      <c r="F113" s="72">
        <f t="shared" si="4"/>
        <v>8756</v>
      </c>
      <c r="G113" s="72">
        <v>2189</v>
      </c>
      <c r="H113" s="72">
        <v>2189</v>
      </c>
      <c r="I113" s="72">
        <v>2189</v>
      </c>
      <c r="J113" s="72">
        <v>2189</v>
      </c>
      <c r="K113" s="172"/>
    </row>
    <row r="114" spans="1:11" ht="42.75" customHeight="1">
      <c r="A114" s="143" t="s">
        <v>682</v>
      </c>
      <c r="B114" s="144" t="s">
        <v>552</v>
      </c>
      <c r="C114" s="78">
        <v>1811.5</v>
      </c>
      <c r="D114" s="72">
        <v>7310</v>
      </c>
      <c r="E114" s="72">
        <v>7175</v>
      </c>
      <c r="F114" s="72">
        <f t="shared" si="4"/>
        <v>8846</v>
      </c>
      <c r="G114" s="72">
        <v>1420</v>
      </c>
      <c r="H114" s="72">
        <v>2503</v>
      </c>
      <c r="I114" s="72">
        <v>2360</v>
      </c>
      <c r="J114" s="72">
        <v>2563</v>
      </c>
      <c r="K114" s="172"/>
    </row>
    <row r="115" spans="1:11">
      <c r="A115" s="143" t="s">
        <v>670</v>
      </c>
      <c r="B115" s="144" t="s">
        <v>553</v>
      </c>
      <c r="C115" s="78"/>
      <c r="D115" s="72"/>
      <c r="E115" s="72"/>
      <c r="F115" s="72">
        <f t="shared" si="4"/>
        <v>0</v>
      </c>
      <c r="G115" s="72"/>
      <c r="H115" s="72"/>
      <c r="I115" s="72"/>
      <c r="J115" s="72"/>
      <c r="K115" s="172"/>
    </row>
    <row r="116" spans="1:11">
      <c r="A116" s="143" t="s">
        <v>535</v>
      </c>
      <c r="B116" s="144" t="s">
        <v>669</v>
      </c>
      <c r="C116" s="78">
        <v>147.9</v>
      </c>
      <c r="D116" s="72"/>
      <c r="E116" s="72">
        <v>2</v>
      </c>
      <c r="F116" s="72">
        <f t="shared" si="4"/>
        <v>0</v>
      </c>
      <c r="G116" s="72"/>
      <c r="H116" s="72"/>
      <c r="I116" s="72"/>
      <c r="J116" s="72"/>
      <c r="K116" s="172"/>
    </row>
    <row r="117" spans="1:11" ht="20.100000000000001" customHeight="1">
      <c r="A117" s="176" t="s">
        <v>299</v>
      </c>
      <c r="B117" s="144">
        <v>1160</v>
      </c>
      <c r="C117" s="78">
        <f>SUM(C118:C119)</f>
        <v>0</v>
      </c>
      <c r="D117" s="78">
        <f>SUM(D118:D119)</f>
        <v>0</v>
      </c>
      <c r="E117" s="78">
        <f>SUM(E118:E119)</f>
        <v>0</v>
      </c>
      <c r="F117" s="72">
        <f t="shared" si="4"/>
        <v>0</v>
      </c>
      <c r="G117" s="72">
        <f>SUM(G118:G119)</f>
        <v>0</v>
      </c>
      <c r="H117" s="72">
        <f>SUM(H118:H119)</f>
        <v>0</v>
      </c>
      <c r="I117" s="72">
        <f>SUM(I118:I119)</f>
        <v>0</v>
      </c>
      <c r="J117" s="72">
        <f>SUM(J118:J119)</f>
        <v>0</v>
      </c>
      <c r="K117" s="172"/>
    </row>
    <row r="118" spans="1:11" ht="20.100000000000001" customHeight="1">
      <c r="A118" s="143" t="s">
        <v>185</v>
      </c>
      <c r="B118" s="144">
        <v>1161</v>
      </c>
      <c r="C118" s="73" t="s">
        <v>251</v>
      </c>
      <c r="D118" s="73" t="s">
        <v>251</v>
      </c>
      <c r="E118" s="73" t="s">
        <v>251</v>
      </c>
      <c r="F118" s="73">
        <f>SUM(G118:J118)</f>
        <v>0</v>
      </c>
      <c r="G118" s="73">
        <v>0</v>
      </c>
      <c r="H118" s="73">
        <v>0</v>
      </c>
      <c r="I118" s="73">
        <v>0</v>
      </c>
      <c r="J118" s="73">
        <v>0</v>
      </c>
      <c r="K118" s="172"/>
    </row>
    <row r="119" spans="1:11" ht="35.25" customHeight="1">
      <c r="A119" s="143" t="s">
        <v>695</v>
      </c>
      <c r="B119" s="144">
        <v>1162</v>
      </c>
      <c r="C119" s="73" t="s">
        <v>251</v>
      </c>
      <c r="D119" s="73"/>
      <c r="E119" s="73"/>
      <c r="F119" s="72">
        <f>SUM(G119:J119)</f>
        <v>0</v>
      </c>
      <c r="G119" s="72">
        <v>0</v>
      </c>
      <c r="H119" s="72">
        <v>0</v>
      </c>
      <c r="I119" s="72"/>
      <c r="J119" s="73"/>
      <c r="K119" s="172"/>
    </row>
    <row r="120" spans="1:11" s="4" customFormat="1" ht="20.100000000000001" customHeight="1">
      <c r="A120" s="176" t="s">
        <v>99</v>
      </c>
      <c r="B120" s="177">
        <v>1170</v>
      </c>
      <c r="C120" s="79">
        <f t="shared" ref="C120:J120" si="11">SUM(C106,C107,C108,C109,C110,C111,C117)</f>
        <v>16866</v>
      </c>
      <c r="D120" s="79">
        <f>SUM(D106,D107,D108,D109,D110,D111,D117)</f>
        <v>3294</v>
      </c>
      <c r="E120" s="79">
        <f t="shared" si="11"/>
        <v>9017</v>
      </c>
      <c r="F120" s="79">
        <f t="shared" si="11"/>
        <v>8140</v>
      </c>
      <c r="G120" s="79">
        <f t="shared" si="11"/>
        <v>1925</v>
      </c>
      <c r="H120" s="79">
        <f>SUM(H106,H107,H108,H109,H110,H111,H117)</f>
        <v>2289</v>
      </c>
      <c r="I120" s="79">
        <f>SUM(I106,I107,I108,I109,I110,I111,I117)</f>
        <v>2113</v>
      </c>
      <c r="J120" s="79">
        <f t="shared" si="11"/>
        <v>1813</v>
      </c>
      <c r="K120" s="178"/>
    </row>
    <row r="121" spans="1:11" s="4" customFormat="1" ht="20.100000000000001" customHeight="1">
      <c r="A121" s="143" t="s">
        <v>260</v>
      </c>
      <c r="B121" s="129">
        <v>1180</v>
      </c>
      <c r="C121" s="72">
        <v>-3326</v>
      </c>
      <c r="D121" s="72">
        <v>-594</v>
      </c>
      <c r="E121" s="72">
        <v>-2535</v>
      </c>
      <c r="F121" s="72">
        <f t="shared" si="4"/>
        <v>-1465</v>
      </c>
      <c r="G121" s="72">
        <f>ROUND((-18*G120/100),0)</f>
        <v>-347</v>
      </c>
      <c r="H121" s="72">
        <f>ROUND((-18*H120/100),0)</f>
        <v>-412</v>
      </c>
      <c r="I121" s="72">
        <f>ROUND((-18*I120/100),0)</f>
        <v>-380</v>
      </c>
      <c r="J121" s="72">
        <f>ROUND((-18*J120/100),0)</f>
        <v>-326</v>
      </c>
      <c r="K121" s="178"/>
    </row>
    <row r="122" spans="1:11" s="4" customFormat="1" ht="20.100000000000001" customHeight="1">
      <c r="A122" s="143" t="s">
        <v>261</v>
      </c>
      <c r="B122" s="129">
        <v>1181</v>
      </c>
      <c r="C122" s="73"/>
      <c r="D122" s="72"/>
      <c r="E122" s="173"/>
      <c r="F122" s="78">
        <f t="shared" si="4"/>
        <v>0</v>
      </c>
      <c r="G122" s="78">
        <v>0</v>
      </c>
      <c r="H122" s="78">
        <v>0</v>
      </c>
      <c r="I122" s="78">
        <v>0</v>
      </c>
      <c r="J122" s="78">
        <v>0</v>
      </c>
      <c r="K122" s="178"/>
    </row>
    <row r="123" spans="1:11" ht="20.100000000000001" customHeight="1">
      <c r="A123" s="143" t="s">
        <v>262</v>
      </c>
      <c r="B123" s="144">
        <v>1190</v>
      </c>
      <c r="C123" s="73"/>
      <c r="D123" s="72"/>
      <c r="E123" s="173"/>
      <c r="F123" s="78">
        <f>SUM(G123:J123)</f>
        <v>0</v>
      </c>
      <c r="G123" s="78">
        <v>0</v>
      </c>
      <c r="H123" s="78">
        <v>0</v>
      </c>
      <c r="I123" s="78">
        <v>0</v>
      </c>
      <c r="J123" s="78">
        <v>0</v>
      </c>
      <c r="K123" s="172"/>
    </row>
    <row r="124" spans="1:11" ht="20.100000000000001" customHeight="1">
      <c r="A124" s="143" t="s">
        <v>263</v>
      </c>
      <c r="B124" s="126">
        <v>1191</v>
      </c>
      <c r="C124" s="73" t="s">
        <v>251</v>
      </c>
      <c r="D124" s="72" t="s">
        <v>251</v>
      </c>
      <c r="E124" s="173" t="s">
        <v>251</v>
      </c>
      <c r="F124" s="78">
        <f>SUM(G124:J124)</f>
        <v>0</v>
      </c>
      <c r="G124" s="78">
        <v>0</v>
      </c>
      <c r="H124" s="78">
        <v>0</v>
      </c>
      <c r="I124" s="78">
        <v>0</v>
      </c>
      <c r="J124" s="78">
        <v>0</v>
      </c>
      <c r="K124" s="172"/>
    </row>
    <row r="125" spans="1:11" s="4" customFormat="1" ht="20.100000000000001" customHeight="1">
      <c r="A125" s="176" t="s">
        <v>368</v>
      </c>
      <c r="B125" s="177">
        <v>1200</v>
      </c>
      <c r="C125" s="79">
        <f>SUM(C120,C121,C122,C123,C124)</f>
        <v>13540</v>
      </c>
      <c r="D125" s="79">
        <f>SUM(D120,D121,D122,D123,D124)</f>
        <v>2700</v>
      </c>
      <c r="E125" s="79">
        <f t="shared" ref="E125:J125" si="12">SUM(E120,E121,E122,E123,E124)</f>
        <v>6482</v>
      </c>
      <c r="F125" s="79">
        <f t="shared" si="12"/>
        <v>6675</v>
      </c>
      <c r="G125" s="79">
        <f t="shared" si="12"/>
        <v>1578</v>
      </c>
      <c r="H125" s="79">
        <f t="shared" si="12"/>
        <v>1877</v>
      </c>
      <c r="I125" s="79">
        <f t="shared" si="12"/>
        <v>1733</v>
      </c>
      <c r="J125" s="79">
        <f t="shared" si="12"/>
        <v>1487</v>
      </c>
      <c r="K125" s="178"/>
    </row>
    <row r="126" spans="1:11" ht="20.100000000000001" customHeight="1">
      <c r="A126" s="143" t="s">
        <v>27</v>
      </c>
      <c r="B126" s="126">
        <v>1201</v>
      </c>
      <c r="C126" s="184">
        <f t="shared" ref="C126:J126" si="13">IF(C125&gt;0,C125,0)</f>
        <v>13540</v>
      </c>
      <c r="D126" s="184">
        <f>IF(D125&gt;0,D125,0)</f>
        <v>2700</v>
      </c>
      <c r="E126" s="184">
        <f t="shared" si="13"/>
        <v>6482</v>
      </c>
      <c r="F126" s="184">
        <f t="shared" si="13"/>
        <v>6675</v>
      </c>
      <c r="G126" s="184">
        <f t="shared" si="13"/>
        <v>1578</v>
      </c>
      <c r="H126" s="184">
        <f t="shared" si="13"/>
        <v>1877</v>
      </c>
      <c r="I126" s="184">
        <f t="shared" si="13"/>
        <v>1733</v>
      </c>
      <c r="J126" s="184">
        <f t="shared" si="13"/>
        <v>1487</v>
      </c>
      <c r="K126" s="136"/>
    </row>
    <row r="127" spans="1:11" ht="20.100000000000001" customHeight="1">
      <c r="A127" s="143" t="s">
        <v>28</v>
      </c>
      <c r="B127" s="126">
        <v>1202</v>
      </c>
      <c r="C127" s="91">
        <f t="shared" ref="C127:J127" si="14">IF(C125&lt;0,C125,0)</f>
        <v>0</v>
      </c>
      <c r="D127" s="91">
        <f>IF(D125&lt;0,D125,0)</f>
        <v>0</v>
      </c>
      <c r="E127" s="91">
        <f t="shared" si="14"/>
        <v>0</v>
      </c>
      <c r="F127" s="91">
        <f t="shared" si="14"/>
        <v>0</v>
      </c>
      <c r="G127" s="91">
        <f t="shared" si="14"/>
        <v>0</v>
      </c>
      <c r="H127" s="91">
        <f t="shared" si="14"/>
        <v>0</v>
      </c>
      <c r="I127" s="91">
        <f t="shared" si="14"/>
        <v>0</v>
      </c>
      <c r="J127" s="91">
        <f t="shared" si="14"/>
        <v>0</v>
      </c>
      <c r="K127" s="136"/>
    </row>
    <row r="128" spans="1:11" ht="20.100000000000001" customHeight="1">
      <c r="A128" s="176" t="s">
        <v>19</v>
      </c>
      <c r="B128" s="144">
        <v>1210</v>
      </c>
      <c r="C128" s="79">
        <f t="shared" ref="C128:J128" si="15">SUM(C7,C80,C107,C109,C111,C122,C123)</f>
        <v>204924</v>
      </c>
      <c r="D128" s="79">
        <f t="shared" si="15"/>
        <v>211722</v>
      </c>
      <c r="E128" s="79">
        <f t="shared" si="15"/>
        <v>183193</v>
      </c>
      <c r="F128" s="79">
        <f t="shared" si="15"/>
        <v>224768</v>
      </c>
      <c r="G128" s="79">
        <f t="shared" si="15"/>
        <v>53299</v>
      </c>
      <c r="H128" s="79">
        <f t="shared" si="15"/>
        <v>56187</v>
      </c>
      <c r="I128" s="79">
        <f t="shared" si="15"/>
        <v>63499</v>
      </c>
      <c r="J128" s="79">
        <f t="shared" si="15"/>
        <v>51783</v>
      </c>
      <c r="K128" s="136"/>
    </row>
    <row r="129" spans="1:11" ht="20.100000000000001" customHeight="1">
      <c r="A129" s="176" t="s">
        <v>117</v>
      </c>
      <c r="B129" s="144">
        <v>1220</v>
      </c>
      <c r="C129" s="79">
        <f t="shared" ref="C129:J129" si="16">SUM(C8,C35,C72,C89,C108,C110,C117,C121,C124)</f>
        <v>-191384</v>
      </c>
      <c r="D129" s="79">
        <f t="shared" si="16"/>
        <v>-209022</v>
      </c>
      <c r="E129" s="79">
        <f t="shared" si="16"/>
        <v>-176711</v>
      </c>
      <c r="F129" s="79">
        <f t="shared" si="16"/>
        <v>-218093</v>
      </c>
      <c r="G129" s="79">
        <f t="shared" si="16"/>
        <v>-51721</v>
      </c>
      <c r="H129" s="79">
        <f t="shared" si="16"/>
        <v>-54310</v>
      </c>
      <c r="I129" s="79">
        <f t="shared" si="16"/>
        <v>-61766</v>
      </c>
      <c r="J129" s="79">
        <f t="shared" si="16"/>
        <v>-50296</v>
      </c>
      <c r="K129" s="136"/>
    </row>
    <row r="130" spans="1:11" ht="19.5" customHeight="1">
      <c r="A130" s="143" t="s">
        <v>203</v>
      </c>
      <c r="B130" s="144">
        <v>1230</v>
      </c>
      <c r="C130" s="73"/>
      <c r="D130" s="73"/>
      <c r="E130" s="73"/>
      <c r="F130" s="73">
        <f>SUM(G130:J130)</f>
        <v>0</v>
      </c>
      <c r="G130" s="73"/>
      <c r="H130" s="73"/>
      <c r="I130" s="73"/>
      <c r="J130" s="73"/>
      <c r="K130" s="136"/>
    </row>
    <row r="131" spans="1:11" ht="20.100000000000001" customHeight="1">
      <c r="A131" s="363" t="s">
        <v>149</v>
      </c>
      <c r="B131" s="364"/>
      <c r="C131" s="364"/>
      <c r="D131" s="364"/>
      <c r="E131" s="364"/>
      <c r="F131" s="364"/>
      <c r="G131" s="364"/>
      <c r="H131" s="364"/>
      <c r="I131" s="364"/>
      <c r="J131" s="364"/>
      <c r="K131" s="365"/>
    </row>
    <row r="132" spans="1:11" ht="20.100000000000001" customHeight="1">
      <c r="A132" s="143" t="s">
        <v>300</v>
      </c>
      <c r="B132" s="144">
        <v>1300</v>
      </c>
      <c r="C132" s="72">
        <f>C106</f>
        <v>7505.0000000000018</v>
      </c>
      <c r="D132" s="72">
        <f>D106</f>
        <v>-12316</v>
      </c>
      <c r="E132" s="72">
        <f>E106</f>
        <v>-6112</v>
      </c>
      <c r="F132" s="72">
        <f t="shared" ref="F132:F137" si="17">SUM(G132:J132)</f>
        <v>-9462</v>
      </c>
      <c r="G132" s="72">
        <f>G106</f>
        <v>-1684</v>
      </c>
      <c r="H132" s="72">
        <f>H106</f>
        <v>-2403</v>
      </c>
      <c r="I132" s="72">
        <f>I106</f>
        <v>-2436</v>
      </c>
      <c r="J132" s="72">
        <f>J106</f>
        <v>-2939</v>
      </c>
      <c r="K132" s="136"/>
    </row>
    <row r="133" spans="1:11" ht="20.100000000000001" customHeight="1">
      <c r="A133" s="143" t="s">
        <v>332</v>
      </c>
      <c r="B133" s="144">
        <v>1301</v>
      </c>
      <c r="C133" s="72">
        <f>C145</f>
        <v>9828</v>
      </c>
      <c r="D133" s="72">
        <f>D145</f>
        <v>15610</v>
      </c>
      <c r="E133" s="173">
        <f>E145</f>
        <v>15127</v>
      </c>
      <c r="F133" s="72">
        <f t="shared" si="17"/>
        <v>17602</v>
      </c>
      <c r="G133" s="72">
        <f>G145</f>
        <v>3609</v>
      </c>
      <c r="H133" s="72">
        <f>H145</f>
        <v>4692</v>
      </c>
      <c r="I133" s="72">
        <f>I145</f>
        <v>4549</v>
      </c>
      <c r="J133" s="72">
        <f>J145</f>
        <v>4752</v>
      </c>
      <c r="K133" s="136"/>
    </row>
    <row r="134" spans="1:11" ht="20.100000000000001" customHeight="1">
      <c r="A134" s="143" t="s">
        <v>333</v>
      </c>
      <c r="B134" s="144">
        <v>1302</v>
      </c>
      <c r="C134" s="72">
        <f>C81</f>
        <v>194.6</v>
      </c>
      <c r="D134" s="72">
        <f>D81</f>
        <v>190</v>
      </c>
      <c r="E134" s="72">
        <f>E81</f>
        <v>204</v>
      </c>
      <c r="F134" s="72">
        <f t="shared" si="17"/>
        <v>200</v>
      </c>
      <c r="G134" s="72">
        <f>G81</f>
        <v>50</v>
      </c>
      <c r="H134" s="72">
        <f>H81</f>
        <v>50</v>
      </c>
      <c r="I134" s="72">
        <f>I81</f>
        <v>50</v>
      </c>
      <c r="J134" s="72">
        <f>J81</f>
        <v>50</v>
      </c>
      <c r="K134" s="136"/>
    </row>
    <row r="135" spans="1:11" ht="20.100000000000001" customHeight="1">
      <c r="A135" s="143" t="s">
        <v>334</v>
      </c>
      <c r="B135" s="144">
        <v>1303</v>
      </c>
      <c r="C135" s="72">
        <f>C90</f>
        <v>-151.69999999999999</v>
      </c>
      <c r="D135" s="72">
        <f>D90</f>
        <v>-164</v>
      </c>
      <c r="E135" s="72">
        <f>E90</f>
        <v>-252</v>
      </c>
      <c r="F135" s="72">
        <f t="shared" si="17"/>
        <v>-151</v>
      </c>
      <c r="G135" s="72">
        <f>G90</f>
        <v>-37</v>
      </c>
      <c r="H135" s="72">
        <f>H90</f>
        <v>-38</v>
      </c>
      <c r="I135" s="72">
        <f>I90</f>
        <v>-38</v>
      </c>
      <c r="J135" s="72">
        <f>J90</f>
        <v>-38</v>
      </c>
      <c r="K135" s="136"/>
    </row>
    <row r="136" spans="1:11" ht="20.100000000000001" customHeight="1">
      <c r="A136" s="143" t="s">
        <v>335</v>
      </c>
      <c r="B136" s="144">
        <v>1304</v>
      </c>
      <c r="C136" s="72">
        <f>C82</f>
        <v>0</v>
      </c>
      <c r="D136" s="72">
        <f>D82</f>
        <v>0</v>
      </c>
      <c r="E136" s="72">
        <f>E82</f>
        <v>0</v>
      </c>
      <c r="F136" s="72">
        <f t="shared" si="17"/>
        <v>0</v>
      </c>
      <c r="G136" s="72">
        <f>G82</f>
        <v>0</v>
      </c>
      <c r="H136" s="72">
        <f>H82</f>
        <v>0</v>
      </c>
      <c r="I136" s="72">
        <f>I82</f>
        <v>0</v>
      </c>
      <c r="J136" s="72">
        <f>J82</f>
        <v>0</v>
      </c>
      <c r="K136" s="136"/>
    </row>
    <row r="137" spans="1:11" ht="20.100000000000001" customHeight="1">
      <c r="A137" s="143" t="s">
        <v>336</v>
      </c>
      <c r="B137" s="144">
        <v>1305</v>
      </c>
      <c r="C137" s="72" t="str">
        <f>C91</f>
        <v>(    )</v>
      </c>
      <c r="D137" s="72" t="str">
        <f>D91</f>
        <v>(    )</v>
      </c>
      <c r="E137" s="72">
        <v>0</v>
      </c>
      <c r="F137" s="72">
        <f t="shared" si="17"/>
        <v>0</v>
      </c>
      <c r="G137" s="72">
        <f>G91</f>
        <v>0</v>
      </c>
      <c r="H137" s="72">
        <f>H91</f>
        <v>0</v>
      </c>
      <c r="I137" s="72">
        <f>I91</f>
        <v>0</v>
      </c>
      <c r="J137" s="72">
        <f>J91</f>
        <v>0</v>
      </c>
      <c r="K137" s="136"/>
    </row>
    <row r="138" spans="1:11" s="4" customFormat="1" ht="20.100000000000001" customHeight="1">
      <c r="A138" s="176" t="s">
        <v>139</v>
      </c>
      <c r="B138" s="177">
        <v>1310</v>
      </c>
      <c r="C138" s="79">
        <f>C132+C133-C134-C135-C136</f>
        <v>17290.100000000002</v>
      </c>
      <c r="D138" s="79">
        <f>D132+D133-D134-D135-D136</f>
        <v>3268</v>
      </c>
      <c r="E138" s="95">
        <f>E132+E133-E134-E135-E136</f>
        <v>9063</v>
      </c>
      <c r="F138" s="79">
        <f>F132+F133-F134-F135-F136-F137</f>
        <v>8091</v>
      </c>
      <c r="G138" s="79">
        <f>G132+G133-G134-G135-G136-G137</f>
        <v>1912</v>
      </c>
      <c r="H138" s="79">
        <f>H132+H133-H134-H135-H136-H137</f>
        <v>2277</v>
      </c>
      <c r="I138" s="79">
        <f>I132+I133-I134-I135-I136-I137</f>
        <v>2101</v>
      </c>
      <c r="J138" s="79">
        <f>J132+J133-J134-J135-J136-J137</f>
        <v>1801</v>
      </c>
      <c r="K138" s="185"/>
    </row>
    <row r="139" spans="1:11" ht="20.100000000000001" customHeight="1">
      <c r="A139" s="362" t="s">
        <v>194</v>
      </c>
      <c r="B139" s="362"/>
      <c r="C139" s="362"/>
      <c r="D139" s="362"/>
      <c r="E139" s="362"/>
      <c r="F139" s="362"/>
      <c r="G139" s="362"/>
      <c r="H139" s="362"/>
      <c r="I139" s="362"/>
      <c r="J139" s="362"/>
      <c r="K139" s="362"/>
    </row>
    <row r="140" spans="1:11" ht="20.100000000000001" customHeight="1">
      <c r="A140" s="143" t="s">
        <v>224</v>
      </c>
      <c r="B140" s="144">
        <v>1400</v>
      </c>
      <c r="C140" s="72">
        <v>8316</v>
      </c>
      <c r="D140" s="72">
        <f>SUM(D141:D142)</f>
        <v>23161</v>
      </c>
      <c r="E140" s="72">
        <f>SUM(E141:E142)</f>
        <v>11812</v>
      </c>
      <c r="F140" s="72">
        <f t="shared" ref="F140:F146" si="18">SUM(G140:J140)</f>
        <v>19386</v>
      </c>
      <c r="G140" s="72">
        <f>SUM(G141:G142)</f>
        <v>5947</v>
      </c>
      <c r="H140" s="72">
        <f>SUM(H141:H142)</f>
        <v>5765</v>
      </c>
      <c r="I140" s="72">
        <f>SUM(I141:I142)</f>
        <v>3351</v>
      </c>
      <c r="J140" s="72">
        <f>SUM(J141:J142)</f>
        <v>4323</v>
      </c>
      <c r="K140" s="136"/>
    </row>
    <row r="141" spans="1:11" ht="20.100000000000001" customHeight="1">
      <c r="A141" s="143" t="s">
        <v>223</v>
      </c>
      <c r="B141" s="186">
        <v>1401</v>
      </c>
      <c r="C141" s="72">
        <v>3785</v>
      </c>
      <c r="D141" s="72">
        <v>8761</v>
      </c>
      <c r="E141" s="72">
        <v>3674</v>
      </c>
      <c r="F141" s="72">
        <f t="shared" si="18"/>
        <v>7804</v>
      </c>
      <c r="G141" s="72">
        <v>1368</v>
      </c>
      <c r="H141" s="72">
        <v>3714</v>
      </c>
      <c r="I141" s="72">
        <v>1468</v>
      </c>
      <c r="J141" s="72">
        <v>1254</v>
      </c>
      <c r="K141" s="136"/>
    </row>
    <row r="142" spans="1:11" ht="20.100000000000001" customHeight="1">
      <c r="A142" s="143" t="s">
        <v>30</v>
      </c>
      <c r="B142" s="186">
        <v>1402</v>
      </c>
      <c r="C142" s="72">
        <v>4531</v>
      </c>
      <c r="D142" s="72">
        <v>14400</v>
      </c>
      <c r="E142" s="72">
        <v>8138</v>
      </c>
      <c r="F142" s="72">
        <f t="shared" si="18"/>
        <v>11582</v>
      </c>
      <c r="G142" s="72">
        <v>4579</v>
      </c>
      <c r="H142" s="72">
        <v>2051</v>
      </c>
      <c r="I142" s="72">
        <v>1883</v>
      </c>
      <c r="J142" s="72">
        <v>3069</v>
      </c>
      <c r="K142" s="136"/>
    </row>
    <row r="143" spans="1:11" ht="20.100000000000001" customHeight="1">
      <c r="A143" s="143" t="s">
        <v>5</v>
      </c>
      <c r="B143" s="187">
        <v>1410</v>
      </c>
      <c r="C143" s="72">
        <v>81647</v>
      </c>
      <c r="D143" s="72">
        <v>99260</v>
      </c>
      <c r="E143" s="72">
        <v>89514</v>
      </c>
      <c r="F143" s="72">
        <f t="shared" si="18"/>
        <v>106159</v>
      </c>
      <c r="G143" s="72">
        <v>25621</v>
      </c>
      <c r="H143" s="72">
        <v>27821</v>
      </c>
      <c r="I143" s="72">
        <v>26570</v>
      </c>
      <c r="J143" s="72">
        <v>26147</v>
      </c>
      <c r="K143" s="93"/>
    </row>
    <row r="144" spans="1:11" ht="20.100000000000001" customHeight="1">
      <c r="A144" s="143" t="s">
        <v>6</v>
      </c>
      <c r="B144" s="187">
        <v>1420</v>
      </c>
      <c r="C144" s="72">
        <v>17110</v>
      </c>
      <c r="D144" s="72">
        <v>21947</v>
      </c>
      <c r="E144" s="72">
        <v>19357</v>
      </c>
      <c r="F144" s="72">
        <f t="shared" si="18"/>
        <v>23354</v>
      </c>
      <c r="G144" s="72">
        <v>5636</v>
      </c>
      <c r="H144" s="72">
        <v>6120</v>
      </c>
      <c r="I144" s="72">
        <v>5845</v>
      </c>
      <c r="J144" s="72">
        <v>5753</v>
      </c>
      <c r="K144" s="136"/>
    </row>
    <row r="145" spans="1:12" ht="20.100000000000001" customHeight="1">
      <c r="A145" s="143" t="s">
        <v>7</v>
      </c>
      <c r="B145" s="187">
        <v>1430</v>
      </c>
      <c r="C145" s="72">
        <v>9828</v>
      </c>
      <c r="D145" s="72">
        <v>15610</v>
      </c>
      <c r="E145" s="72">
        <f>-E15-E45</f>
        <v>15127</v>
      </c>
      <c r="F145" s="72">
        <f t="shared" si="18"/>
        <v>17602</v>
      </c>
      <c r="G145" s="72">
        <v>3609</v>
      </c>
      <c r="H145" s="72">
        <v>4692</v>
      </c>
      <c r="I145" s="72">
        <v>4549</v>
      </c>
      <c r="J145" s="72">
        <v>4752</v>
      </c>
      <c r="K145" s="136"/>
    </row>
    <row r="146" spans="1:12" ht="20.100000000000001" customHeight="1">
      <c r="A146" s="143" t="s">
        <v>31</v>
      </c>
      <c r="B146" s="187">
        <v>1440</v>
      </c>
      <c r="C146" s="72">
        <v>71157</v>
      </c>
      <c r="D146" s="72">
        <v>48450</v>
      </c>
      <c r="E146" s="72">
        <f>-E129+E121-SUM(E141:E145)</f>
        <v>38366</v>
      </c>
      <c r="F146" s="72">
        <f t="shared" si="18"/>
        <v>50127</v>
      </c>
      <c r="G146" s="72">
        <v>10561</v>
      </c>
      <c r="H146" s="72">
        <v>9500</v>
      </c>
      <c r="I146" s="72">
        <v>21071</v>
      </c>
      <c r="J146" s="72">
        <v>8995</v>
      </c>
      <c r="K146" s="136"/>
    </row>
    <row r="147" spans="1:12" s="4" customFormat="1" ht="20.100000000000001" customHeight="1">
      <c r="A147" s="176" t="s">
        <v>54</v>
      </c>
      <c r="B147" s="188">
        <v>1450</v>
      </c>
      <c r="C147" s="79">
        <f>SUM(C140,C143:C146)</f>
        <v>188058</v>
      </c>
      <c r="D147" s="79">
        <f>SUM(D140,D143:D146)</f>
        <v>208428</v>
      </c>
      <c r="E147" s="79">
        <f>SUM(E140,E143:E146)</f>
        <v>174176</v>
      </c>
      <c r="F147" s="79">
        <f>SUM(G147:J147)</f>
        <v>216628</v>
      </c>
      <c r="G147" s="79">
        <f>SUM(G140,G143:G146)</f>
        <v>51374</v>
      </c>
      <c r="H147" s="79">
        <f>SUM(H140,H143:H146)</f>
        <v>53898</v>
      </c>
      <c r="I147" s="79">
        <f>SUM(I140,I143:I146)</f>
        <v>61386</v>
      </c>
      <c r="J147" s="79">
        <f>SUM(J140,J143:J146)</f>
        <v>49970</v>
      </c>
      <c r="K147" s="185"/>
      <c r="L147" s="120"/>
    </row>
    <row r="148" spans="1:12" s="4" customFormat="1" ht="20.100000000000001" customHeight="1">
      <c r="A148" s="189"/>
      <c r="B148" s="190"/>
      <c r="C148" s="191"/>
      <c r="D148" s="191"/>
      <c r="E148" s="191"/>
      <c r="F148" s="191"/>
      <c r="G148" s="191"/>
      <c r="H148" s="191"/>
      <c r="I148" s="191"/>
      <c r="J148" s="191"/>
      <c r="K148" s="192"/>
      <c r="L148" s="120"/>
    </row>
    <row r="149" spans="1:12" s="4" customFormat="1" ht="20.100000000000001" customHeight="1">
      <c r="A149" s="189"/>
      <c r="B149" s="190"/>
      <c r="C149" s="191"/>
      <c r="D149" s="191"/>
      <c r="E149" s="191"/>
      <c r="F149" s="193"/>
      <c r="G149" s="191"/>
      <c r="H149" s="191"/>
      <c r="I149" s="191"/>
      <c r="J149" s="191"/>
      <c r="K149" s="192"/>
      <c r="L149" s="120"/>
    </row>
    <row r="150" spans="1:12" s="4" customFormat="1" ht="20.100000000000001" customHeight="1">
      <c r="A150" s="189"/>
      <c r="B150" s="190"/>
      <c r="C150" s="191"/>
      <c r="D150" s="191"/>
      <c r="E150" s="191"/>
      <c r="F150" s="191"/>
      <c r="G150" s="191"/>
      <c r="H150" s="191"/>
      <c r="I150" s="191"/>
      <c r="J150" s="191"/>
      <c r="K150" s="192"/>
      <c r="L150" s="120"/>
    </row>
    <row r="151" spans="1:12" s="4" customFormat="1" ht="20.100000000000001" customHeight="1">
      <c r="A151" s="189"/>
      <c r="B151" s="190"/>
      <c r="C151" s="191"/>
      <c r="D151" s="191"/>
      <c r="E151" s="191"/>
      <c r="F151" s="191"/>
      <c r="G151" s="191"/>
      <c r="H151" s="191"/>
      <c r="I151" s="191"/>
      <c r="J151" s="191"/>
      <c r="K151" s="192"/>
      <c r="L151" s="120"/>
    </row>
    <row r="152" spans="1:12" s="4" customFormat="1" ht="20.100000000000001" customHeight="1">
      <c r="A152" s="189"/>
      <c r="B152" s="190"/>
      <c r="C152" s="191"/>
      <c r="D152" s="191"/>
      <c r="E152" s="191"/>
      <c r="F152" s="191"/>
      <c r="G152" s="191"/>
      <c r="H152" s="191"/>
      <c r="I152" s="191"/>
      <c r="J152" s="191"/>
      <c r="K152" s="192"/>
      <c r="L152" s="120"/>
    </row>
    <row r="153" spans="1:12" s="4" customFormat="1" ht="20.100000000000001" customHeight="1">
      <c r="A153" s="189"/>
      <c r="B153" s="190"/>
      <c r="C153" s="191"/>
      <c r="D153" s="191"/>
      <c r="E153" s="191"/>
      <c r="F153" s="191"/>
      <c r="G153" s="191"/>
      <c r="H153" s="191"/>
      <c r="I153" s="191"/>
      <c r="J153" s="191"/>
      <c r="K153" s="192"/>
      <c r="L153" s="120"/>
    </row>
    <row r="154" spans="1:12" ht="16.5" customHeight="1">
      <c r="A154" s="115"/>
      <c r="C154" s="76"/>
      <c r="D154" s="194"/>
      <c r="E154" s="194"/>
      <c r="F154" s="194"/>
      <c r="G154" s="194"/>
      <c r="H154" s="194"/>
      <c r="I154" s="194"/>
      <c r="J154" s="194"/>
    </row>
    <row r="155" spans="1:12" ht="20.100000000000001" customHeight="1">
      <c r="A155" s="115" t="str">
        <f>'Осн. фін. пок.'!A144</f>
        <v>Т.в.о. директора</v>
      </c>
      <c r="B155" s="166"/>
      <c r="C155" s="357" t="s">
        <v>106</v>
      </c>
      <c r="D155" s="358"/>
      <c r="E155" s="358"/>
      <c r="F155" s="358"/>
      <c r="G155" s="77"/>
      <c r="H155" s="359" t="str">
        <f>'Осн. фін. пок.'!H144</f>
        <v>Р.М. Мікрух</v>
      </c>
      <c r="I155" s="359"/>
      <c r="J155" s="359"/>
    </row>
    <row r="156" spans="1:12" s="81" customFormat="1" ht="20.100000000000001" customHeight="1">
      <c r="A156" s="114"/>
      <c r="B156" s="120"/>
      <c r="C156" s="336" t="s">
        <v>220</v>
      </c>
      <c r="D156" s="336"/>
      <c r="E156" s="336"/>
      <c r="F156" s="336"/>
      <c r="G156" s="118"/>
      <c r="H156" s="335"/>
      <c r="I156" s="335"/>
      <c r="J156" s="335"/>
    </row>
    <row r="157" spans="1:12" ht="20.100000000000001" customHeight="1">
      <c r="A157" s="115"/>
      <c r="C157" s="76"/>
      <c r="D157" s="194"/>
      <c r="E157" s="194"/>
      <c r="F157" s="194"/>
      <c r="G157" s="194"/>
      <c r="H157" s="194"/>
      <c r="I157" s="194"/>
      <c r="J157" s="194"/>
    </row>
    <row r="158" spans="1:12">
      <c r="A158" s="115"/>
      <c r="C158" s="76"/>
      <c r="D158" s="194"/>
      <c r="E158" s="194"/>
      <c r="F158" s="194"/>
      <c r="G158" s="194"/>
      <c r="H158" s="194"/>
      <c r="I158" s="194"/>
      <c r="J158" s="194"/>
    </row>
    <row r="159" spans="1:12">
      <c r="A159" s="115"/>
      <c r="C159" s="76"/>
      <c r="D159" s="194"/>
      <c r="E159" s="194"/>
      <c r="F159" s="194"/>
      <c r="G159" s="194"/>
      <c r="H159" s="194"/>
      <c r="I159" s="194"/>
      <c r="J159" s="194"/>
    </row>
    <row r="160" spans="1:12">
      <c r="A160" s="115"/>
      <c r="C160" s="76"/>
      <c r="D160" s="194"/>
      <c r="E160" s="194"/>
      <c r="F160" s="194"/>
      <c r="G160" s="194"/>
      <c r="H160" s="194"/>
      <c r="I160" s="194"/>
      <c r="J160" s="194"/>
    </row>
    <row r="161" spans="1:10">
      <c r="A161" s="115"/>
      <c r="C161" s="76"/>
      <c r="D161" s="194"/>
      <c r="E161" s="194"/>
      <c r="F161" s="194"/>
      <c r="G161" s="194"/>
      <c r="H161" s="194"/>
      <c r="I161" s="194"/>
      <c r="J161" s="194"/>
    </row>
    <row r="162" spans="1:10">
      <c r="A162" s="115"/>
      <c r="C162" s="76"/>
      <c r="D162" s="194"/>
      <c r="E162" s="194"/>
      <c r="F162" s="194"/>
      <c r="G162" s="194"/>
      <c r="H162" s="194"/>
      <c r="I162" s="194"/>
      <c r="J162" s="194"/>
    </row>
    <row r="163" spans="1:10">
      <c r="A163" s="115"/>
      <c r="C163" s="76"/>
      <c r="D163" s="194"/>
      <c r="E163" s="194"/>
      <c r="F163" s="194"/>
      <c r="G163" s="194"/>
      <c r="H163" s="194"/>
      <c r="I163" s="194"/>
      <c r="J163" s="194"/>
    </row>
    <row r="164" spans="1:10">
      <c r="A164" s="115"/>
      <c r="C164" s="76"/>
      <c r="D164" s="194"/>
      <c r="E164" s="194"/>
      <c r="F164" s="194"/>
      <c r="G164" s="194"/>
      <c r="H164" s="194"/>
      <c r="I164" s="194"/>
      <c r="J164" s="194"/>
    </row>
    <row r="165" spans="1:10">
      <c r="A165" s="115"/>
      <c r="C165" s="76"/>
      <c r="D165" s="194"/>
      <c r="E165" s="194"/>
      <c r="F165" s="194"/>
      <c r="G165" s="194"/>
      <c r="H165" s="194"/>
      <c r="I165" s="194"/>
      <c r="J165" s="194"/>
    </row>
    <row r="166" spans="1:10">
      <c r="A166" s="115"/>
      <c r="C166" s="76"/>
      <c r="D166" s="194"/>
      <c r="E166" s="194"/>
      <c r="F166" s="194"/>
      <c r="G166" s="194"/>
      <c r="H166" s="194"/>
      <c r="I166" s="194"/>
      <c r="J166" s="194"/>
    </row>
    <row r="167" spans="1:10">
      <c r="A167" s="115"/>
      <c r="C167" s="76"/>
      <c r="D167" s="194"/>
      <c r="E167" s="194"/>
      <c r="F167" s="194"/>
      <c r="G167" s="194"/>
      <c r="H167" s="194"/>
      <c r="I167" s="194"/>
      <c r="J167" s="194"/>
    </row>
    <row r="168" spans="1:10">
      <c r="A168" s="115"/>
      <c r="C168" s="76"/>
      <c r="D168" s="194"/>
      <c r="E168" s="194"/>
      <c r="F168" s="194"/>
      <c r="G168" s="194"/>
      <c r="H168" s="194"/>
      <c r="I168" s="194"/>
      <c r="J168" s="194"/>
    </row>
    <row r="169" spans="1:10">
      <c r="A169" s="115"/>
      <c r="C169" s="76"/>
      <c r="D169" s="194"/>
      <c r="E169" s="194"/>
      <c r="F169" s="194"/>
      <c r="G169" s="194"/>
      <c r="H169" s="194"/>
      <c r="I169" s="194"/>
      <c r="J169" s="194"/>
    </row>
    <row r="170" spans="1:10">
      <c r="A170" s="115"/>
      <c r="C170" s="76"/>
      <c r="D170" s="194"/>
      <c r="E170" s="194"/>
      <c r="F170" s="194"/>
      <c r="G170" s="194"/>
      <c r="H170" s="194"/>
      <c r="I170" s="194"/>
      <c r="J170" s="194"/>
    </row>
    <row r="171" spans="1:10">
      <c r="A171" s="115"/>
      <c r="C171" s="76"/>
      <c r="D171" s="194"/>
      <c r="E171" s="194"/>
      <c r="F171" s="194"/>
      <c r="G171" s="194"/>
      <c r="H171" s="194"/>
      <c r="I171" s="194"/>
      <c r="J171" s="194"/>
    </row>
    <row r="172" spans="1:10">
      <c r="A172" s="115"/>
      <c r="C172" s="76"/>
      <c r="D172" s="194"/>
      <c r="E172" s="194"/>
      <c r="F172" s="194"/>
      <c r="G172" s="194"/>
      <c r="H172" s="194"/>
      <c r="I172" s="194"/>
      <c r="J172" s="194"/>
    </row>
    <row r="173" spans="1:10">
      <c r="A173" s="115"/>
      <c r="C173" s="76"/>
      <c r="D173" s="194"/>
      <c r="E173" s="194"/>
      <c r="F173" s="194"/>
      <c r="G173" s="194"/>
      <c r="H173" s="194"/>
      <c r="I173" s="194"/>
      <c r="J173" s="194"/>
    </row>
    <row r="174" spans="1:10">
      <c r="A174" s="115"/>
      <c r="C174" s="76"/>
      <c r="D174" s="194"/>
      <c r="E174" s="194"/>
      <c r="F174" s="194"/>
      <c r="G174" s="194"/>
      <c r="H174" s="194"/>
      <c r="I174" s="194"/>
      <c r="J174" s="194"/>
    </row>
    <row r="175" spans="1:10">
      <c r="A175" s="115"/>
      <c r="C175" s="76"/>
      <c r="D175" s="194"/>
      <c r="E175" s="194"/>
      <c r="F175" s="194"/>
      <c r="G175" s="194"/>
      <c r="H175" s="194"/>
      <c r="I175" s="194"/>
      <c r="J175" s="194"/>
    </row>
    <row r="176" spans="1:10">
      <c r="A176" s="115"/>
      <c r="C176" s="76"/>
      <c r="D176" s="194"/>
      <c r="E176" s="194"/>
      <c r="F176" s="194"/>
      <c r="G176" s="194"/>
      <c r="H176" s="194"/>
      <c r="I176" s="194"/>
      <c r="J176" s="194"/>
    </row>
    <row r="177" spans="1:10">
      <c r="A177" s="115"/>
      <c r="C177" s="76"/>
      <c r="D177" s="194"/>
      <c r="E177" s="194"/>
      <c r="F177" s="194"/>
      <c r="G177" s="194"/>
      <c r="H177" s="194"/>
      <c r="I177" s="194"/>
      <c r="J177" s="194"/>
    </row>
    <row r="178" spans="1:10">
      <c r="A178" s="115"/>
      <c r="C178" s="76"/>
      <c r="D178" s="194"/>
      <c r="E178" s="194"/>
      <c r="F178" s="194"/>
      <c r="G178" s="194"/>
      <c r="H178" s="194"/>
      <c r="I178" s="194"/>
      <c r="J178" s="194"/>
    </row>
    <row r="179" spans="1:10">
      <c r="A179" s="115"/>
      <c r="C179" s="76"/>
      <c r="D179" s="194"/>
      <c r="E179" s="194"/>
      <c r="F179" s="194"/>
      <c r="G179" s="194"/>
      <c r="H179" s="194"/>
      <c r="I179" s="194"/>
      <c r="J179" s="194"/>
    </row>
    <row r="180" spans="1:10">
      <c r="A180" s="115"/>
      <c r="C180" s="76"/>
      <c r="D180" s="194"/>
      <c r="E180" s="194"/>
      <c r="F180" s="194"/>
      <c r="G180" s="194"/>
      <c r="H180" s="194"/>
      <c r="I180" s="194"/>
      <c r="J180" s="194"/>
    </row>
    <row r="181" spans="1:10">
      <c r="A181" s="115"/>
      <c r="C181" s="76"/>
      <c r="D181" s="194"/>
      <c r="E181" s="194"/>
      <c r="F181" s="194"/>
      <c r="G181" s="194"/>
      <c r="H181" s="194"/>
      <c r="I181" s="194"/>
      <c r="J181" s="194"/>
    </row>
    <row r="182" spans="1:10">
      <c r="A182" s="115"/>
      <c r="C182" s="76"/>
      <c r="D182" s="194"/>
      <c r="E182" s="194"/>
      <c r="F182" s="194"/>
      <c r="G182" s="194"/>
      <c r="H182" s="194"/>
      <c r="I182" s="194"/>
      <c r="J182" s="194"/>
    </row>
    <row r="183" spans="1:10">
      <c r="A183" s="115"/>
      <c r="C183" s="76"/>
      <c r="D183" s="194"/>
      <c r="E183" s="194"/>
      <c r="F183" s="194"/>
      <c r="G183" s="194"/>
      <c r="H183" s="194"/>
      <c r="I183" s="194"/>
      <c r="J183" s="194"/>
    </row>
    <row r="184" spans="1:10">
      <c r="A184" s="115"/>
      <c r="C184" s="76"/>
      <c r="D184" s="194"/>
      <c r="E184" s="194"/>
      <c r="F184" s="194"/>
      <c r="G184" s="194"/>
      <c r="H184" s="194"/>
      <c r="I184" s="194"/>
      <c r="J184" s="194"/>
    </row>
    <row r="185" spans="1:10">
      <c r="A185" s="115"/>
      <c r="C185" s="76"/>
      <c r="D185" s="194"/>
      <c r="E185" s="194"/>
      <c r="F185" s="194"/>
      <c r="G185" s="194"/>
      <c r="H185" s="194"/>
      <c r="I185" s="194"/>
      <c r="J185" s="194"/>
    </row>
    <row r="186" spans="1:10">
      <c r="A186" s="115"/>
      <c r="C186" s="76"/>
      <c r="D186" s="194"/>
      <c r="E186" s="194"/>
      <c r="F186" s="194"/>
      <c r="G186" s="194"/>
      <c r="H186" s="194"/>
      <c r="I186" s="194"/>
      <c r="J186" s="194"/>
    </row>
    <row r="187" spans="1:10">
      <c r="A187" s="115"/>
      <c r="C187" s="76"/>
      <c r="D187" s="194"/>
      <c r="E187" s="194"/>
      <c r="F187" s="194"/>
      <c r="G187" s="194"/>
      <c r="H187" s="194"/>
      <c r="I187" s="194"/>
      <c r="J187" s="194"/>
    </row>
    <row r="188" spans="1:10">
      <c r="A188" s="115"/>
      <c r="C188" s="76"/>
      <c r="D188" s="194"/>
      <c r="E188" s="194"/>
      <c r="F188" s="194"/>
      <c r="G188" s="194"/>
      <c r="H188" s="194"/>
      <c r="I188" s="194"/>
      <c r="J188" s="194"/>
    </row>
    <row r="189" spans="1:10">
      <c r="A189" s="115"/>
      <c r="C189" s="76"/>
      <c r="D189" s="194"/>
      <c r="E189" s="194"/>
      <c r="F189" s="194"/>
      <c r="G189" s="194"/>
      <c r="H189" s="194"/>
      <c r="I189" s="194"/>
      <c r="J189" s="194"/>
    </row>
    <row r="190" spans="1:10">
      <c r="A190" s="115"/>
      <c r="C190" s="76"/>
      <c r="D190" s="194"/>
      <c r="E190" s="194"/>
      <c r="F190" s="194"/>
      <c r="G190" s="194"/>
      <c r="H190" s="194"/>
      <c r="I190" s="194"/>
      <c r="J190" s="194"/>
    </row>
    <row r="191" spans="1:10">
      <c r="A191" s="115"/>
      <c r="C191" s="76"/>
      <c r="D191" s="194"/>
      <c r="E191" s="194"/>
      <c r="F191" s="194"/>
      <c r="G191" s="194"/>
      <c r="H191" s="194"/>
      <c r="I191" s="194"/>
      <c r="J191" s="194"/>
    </row>
    <row r="192" spans="1:10">
      <c r="A192" s="115"/>
      <c r="C192" s="76"/>
      <c r="D192" s="194"/>
      <c r="E192" s="194"/>
      <c r="F192" s="194"/>
      <c r="G192" s="194"/>
      <c r="H192" s="194"/>
      <c r="I192" s="194"/>
      <c r="J192" s="194"/>
    </row>
    <row r="193" spans="1:10">
      <c r="A193" s="115"/>
      <c r="C193" s="76"/>
      <c r="D193" s="194"/>
      <c r="E193" s="194"/>
      <c r="F193" s="194"/>
      <c r="G193" s="194"/>
      <c r="H193" s="194"/>
      <c r="I193" s="194"/>
      <c r="J193" s="194"/>
    </row>
    <row r="194" spans="1:10">
      <c r="A194" s="115"/>
      <c r="C194" s="76"/>
      <c r="D194" s="194"/>
      <c r="E194" s="194"/>
      <c r="F194" s="194"/>
      <c r="G194" s="194"/>
      <c r="H194" s="194"/>
      <c r="I194" s="194"/>
      <c r="J194" s="194"/>
    </row>
    <row r="195" spans="1:10">
      <c r="A195" s="115"/>
      <c r="C195" s="76"/>
      <c r="D195" s="194"/>
      <c r="E195" s="194"/>
      <c r="F195" s="194"/>
      <c r="G195" s="194"/>
      <c r="H195" s="194"/>
      <c r="I195" s="194"/>
      <c r="J195" s="194"/>
    </row>
    <row r="196" spans="1:10">
      <c r="A196" s="115"/>
      <c r="C196" s="76"/>
      <c r="D196" s="194"/>
      <c r="E196" s="194"/>
      <c r="F196" s="194"/>
      <c r="G196" s="194"/>
      <c r="H196" s="194"/>
      <c r="I196" s="194"/>
      <c r="J196" s="194"/>
    </row>
    <row r="197" spans="1:10">
      <c r="A197" s="115"/>
      <c r="C197" s="76"/>
      <c r="D197" s="194"/>
      <c r="E197" s="194"/>
      <c r="F197" s="194"/>
      <c r="G197" s="194"/>
      <c r="H197" s="194"/>
      <c r="I197" s="194"/>
      <c r="J197" s="194"/>
    </row>
    <row r="198" spans="1:10">
      <c r="A198" s="115"/>
      <c r="C198" s="76"/>
      <c r="D198" s="194"/>
      <c r="E198" s="194"/>
      <c r="F198" s="194"/>
      <c r="G198" s="194"/>
      <c r="H198" s="194"/>
      <c r="I198" s="194"/>
      <c r="J198" s="194"/>
    </row>
    <row r="199" spans="1:10">
      <c r="A199" s="115"/>
      <c r="C199" s="76"/>
      <c r="D199" s="194"/>
      <c r="E199" s="194"/>
      <c r="F199" s="194"/>
      <c r="G199" s="194"/>
      <c r="H199" s="194"/>
      <c r="I199" s="194"/>
      <c r="J199" s="194"/>
    </row>
    <row r="200" spans="1:10">
      <c r="A200" s="115"/>
      <c r="C200" s="76"/>
      <c r="D200" s="194"/>
      <c r="E200" s="194"/>
      <c r="F200" s="194"/>
      <c r="G200" s="194"/>
      <c r="H200" s="194"/>
      <c r="I200" s="194"/>
      <c r="J200" s="194"/>
    </row>
    <row r="201" spans="1:10">
      <c r="A201" s="115"/>
      <c r="C201" s="76"/>
      <c r="D201" s="194"/>
      <c r="E201" s="194"/>
      <c r="F201" s="194"/>
      <c r="G201" s="194"/>
      <c r="H201" s="194"/>
      <c r="I201" s="194"/>
      <c r="J201" s="194"/>
    </row>
    <row r="202" spans="1:10">
      <c r="A202" s="115"/>
      <c r="C202" s="76"/>
      <c r="D202" s="194"/>
      <c r="E202" s="194"/>
      <c r="F202" s="194"/>
      <c r="G202" s="194"/>
      <c r="H202" s="194"/>
      <c r="I202" s="194"/>
      <c r="J202" s="194"/>
    </row>
    <row r="203" spans="1:10">
      <c r="A203" s="115"/>
      <c r="C203" s="76"/>
      <c r="D203" s="194"/>
      <c r="E203" s="194"/>
      <c r="F203" s="194"/>
      <c r="G203" s="194"/>
      <c r="H203" s="194"/>
      <c r="I203" s="194"/>
      <c r="J203" s="194"/>
    </row>
    <row r="204" spans="1:10">
      <c r="A204" s="115"/>
      <c r="C204" s="76"/>
      <c r="D204" s="194"/>
      <c r="E204" s="194"/>
      <c r="F204" s="194"/>
      <c r="G204" s="194"/>
      <c r="H204" s="194"/>
      <c r="I204" s="194"/>
      <c r="J204" s="194"/>
    </row>
    <row r="205" spans="1:10">
      <c r="A205" s="115"/>
      <c r="C205" s="76"/>
      <c r="D205" s="194"/>
      <c r="E205" s="194"/>
      <c r="F205" s="194"/>
      <c r="G205" s="194"/>
      <c r="H205" s="194"/>
      <c r="I205" s="194"/>
      <c r="J205" s="194"/>
    </row>
    <row r="206" spans="1:10">
      <c r="A206" s="115"/>
      <c r="C206" s="76"/>
      <c r="D206" s="194"/>
      <c r="E206" s="194"/>
      <c r="F206" s="194"/>
      <c r="G206" s="194"/>
      <c r="H206" s="194"/>
      <c r="I206" s="194"/>
      <c r="J206" s="194"/>
    </row>
    <row r="207" spans="1:10">
      <c r="A207" s="115"/>
      <c r="C207" s="76"/>
      <c r="D207" s="194"/>
      <c r="E207" s="194"/>
      <c r="F207" s="194"/>
      <c r="G207" s="194"/>
      <c r="H207" s="194"/>
      <c r="I207" s="194"/>
      <c r="J207" s="194"/>
    </row>
    <row r="208" spans="1:10">
      <c r="A208" s="115"/>
      <c r="C208" s="76"/>
      <c r="D208" s="194"/>
      <c r="E208" s="194"/>
      <c r="F208" s="194"/>
      <c r="G208" s="194"/>
      <c r="H208" s="194"/>
      <c r="I208" s="194"/>
      <c r="J208" s="194"/>
    </row>
    <row r="209" spans="1:10">
      <c r="A209" s="115"/>
      <c r="C209" s="76"/>
      <c r="D209" s="194"/>
      <c r="E209" s="194"/>
      <c r="F209" s="194"/>
      <c r="G209" s="194"/>
      <c r="H209" s="194"/>
      <c r="I209" s="194"/>
      <c r="J209" s="194"/>
    </row>
    <row r="210" spans="1:10">
      <c r="A210" s="115"/>
      <c r="C210" s="76"/>
      <c r="D210" s="194"/>
      <c r="E210" s="194"/>
      <c r="F210" s="194"/>
      <c r="G210" s="194"/>
      <c r="H210" s="194"/>
      <c r="I210" s="194"/>
      <c r="J210" s="194"/>
    </row>
    <row r="211" spans="1:10">
      <c r="A211" s="115"/>
      <c r="C211" s="76"/>
      <c r="D211" s="194"/>
      <c r="E211" s="194"/>
      <c r="F211" s="194"/>
      <c r="G211" s="194"/>
      <c r="H211" s="194"/>
      <c r="I211" s="194"/>
      <c r="J211" s="194"/>
    </row>
    <row r="212" spans="1:10">
      <c r="A212" s="115"/>
      <c r="C212" s="76"/>
      <c r="D212" s="194"/>
      <c r="E212" s="194"/>
      <c r="F212" s="194"/>
      <c r="G212" s="194"/>
      <c r="H212" s="194"/>
      <c r="I212" s="194"/>
      <c r="J212" s="194"/>
    </row>
    <row r="213" spans="1:10">
      <c r="A213" s="115"/>
      <c r="C213" s="76"/>
      <c r="D213" s="194"/>
      <c r="E213" s="194"/>
      <c r="F213" s="194"/>
      <c r="G213" s="194"/>
      <c r="H213" s="194"/>
      <c r="I213" s="194"/>
      <c r="J213" s="194"/>
    </row>
    <row r="214" spans="1:10">
      <c r="A214" s="115"/>
      <c r="C214" s="76"/>
      <c r="D214" s="194"/>
      <c r="E214" s="194"/>
      <c r="F214" s="194"/>
      <c r="G214" s="194"/>
      <c r="H214" s="194"/>
      <c r="I214" s="194"/>
      <c r="J214" s="194"/>
    </row>
    <row r="215" spans="1:10">
      <c r="A215" s="28"/>
    </row>
    <row r="216" spans="1:10">
      <c r="A216" s="28"/>
    </row>
    <row r="217" spans="1:10">
      <c r="A217" s="28"/>
    </row>
    <row r="218" spans="1:10">
      <c r="A218" s="28"/>
    </row>
    <row r="219" spans="1:10">
      <c r="A219" s="28"/>
    </row>
    <row r="220" spans="1:10">
      <c r="A220" s="28"/>
    </row>
    <row r="221" spans="1:10">
      <c r="A221" s="28"/>
    </row>
    <row r="222" spans="1:10">
      <c r="A222" s="28"/>
    </row>
    <row r="223" spans="1:10">
      <c r="A223" s="28"/>
    </row>
    <row r="224" spans="1:10">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row r="233" spans="1:1">
      <c r="A233" s="28"/>
    </row>
    <row r="234" spans="1:1">
      <c r="A234" s="28"/>
    </row>
    <row r="235" spans="1:1">
      <c r="A235" s="28"/>
    </row>
    <row r="236" spans="1:1">
      <c r="A236" s="28"/>
    </row>
    <row r="237" spans="1:1">
      <c r="A237" s="28"/>
    </row>
    <row r="238" spans="1:1">
      <c r="A238" s="28"/>
    </row>
    <row r="239" spans="1:1">
      <c r="A239" s="28"/>
    </row>
    <row r="240" spans="1:1">
      <c r="A240" s="28"/>
    </row>
    <row r="241" spans="1:1">
      <c r="A241" s="28"/>
    </row>
    <row r="242" spans="1:1">
      <c r="A242" s="28"/>
    </row>
    <row r="243" spans="1:1">
      <c r="A243" s="28"/>
    </row>
    <row r="244" spans="1:1">
      <c r="A244" s="28"/>
    </row>
    <row r="245" spans="1:1">
      <c r="A245" s="28"/>
    </row>
    <row r="246" spans="1:1">
      <c r="A246" s="28"/>
    </row>
    <row r="247" spans="1:1">
      <c r="A247" s="28"/>
    </row>
    <row r="248" spans="1:1">
      <c r="A248" s="28"/>
    </row>
    <row r="249" spans="1:1">
      <c r="A249" s="28"/>
    </row>
    <row r="250" spans="1:1">
      <c r="A250" s="28"/>
    </row>
    <row r="251" spans="1:1">
      <c r="A251" s="28"/>
    </row>
    <row r="252" spans="1:1">
      <c r="A252" s="28"/>
    </row>
    <row r="253" spans="1:1">
      <c r="A253" s="28"/>
    </row>
    <row r="254" spans="1:1">
      <c r="A254" s="28"/>
    </row>
    <row r="255" spans="1:1">
      <c r="A255" s="28"/>
    </row>
    <row r="256" spans="1:1">
      <c r="A256" s="28"/>
    </row>
    <row r="257" spans="1:1">
      <c r="A257" s="28"/>
    </row>
    <row r="258" spans="1:1">
      <c r="A258" s="28"/>
    </row>
    <row r="259" spans="1:1">
      <c r="A259" s="28"/>
    </row>
    <row r="260" spans="1:1">
      <c r="A260" s="28"/>
    </row>
    <row r="261" spans="1:1">
      <c r="A261" s="28"/>
    </row>
    <row r="262" spans="1:1">
      <c r="A262" s="28"/>
    </row>
    <row r="263" spans="1:1">
      <c r="A263" s="28"/>
    </row>
    <row r="264" spans="1:1">
      <c r="A264" s="28"/>
    </row>
    <row r="265" spans="1:1">
      <c r="A265" s="28"/>
    </row>
    <row r="266" spans="1:1">
      <c r="A266" s="28"/>
    </row>
    <row r="267" spans="1:1">
      <c r="A267" s="28"/>
    </row>
    <row r="268" spans="1:1">
      <c r="A268" s="28"/>
    </row>
    <row r="269" spans="1:1">
      <c r="A269" s="28"/>
    </row>
    <row r="270" spans="1:1">
      <c r="A270" s="28"/>
    </row>
    <row r="271" spans="1:1">
      <c r="A271" s="28"/>
    </row>
    <row r="272" spans="1:1">
      <c r="A272" s="28"/>
    </row>
    <row r="273" spans="1:1">
      <c r="A273" s="28"/>
    </row>
    <row r="274" spans="1:1">
      <c r="A274" s="28"/>
    </row>
    <row r="275" spans="1:1">
      <c r="A275" s="28"/>
    </row>
    <row r="276" spans="1:1">
      <c r="A276" s="28"/>
    </row>
    <row r="277" spans="1:1">
      <c r="A277" s="28"/>
    </row>
    <row r="278" spans="1:1">
      <c r="A278" s="28"/>
    </row>
    <row r="279" spans="1:1">
      <c r="A279" s="28"/>
    </row>
    <row r="280" spans="1:1">
      <c r="A280" s="28"/>
    </row>
    <row r="281" spans="1:1">
      <c r="A281" s="28"/>
    </row>
    <row r="282" spans="1:1">
      <c r="A282" s="28"/>
    </row>
    <row r="283" spans="1:1">
      <c r="A283" s="28"/>
    </row>
    <row r="284" spans="1:1">
      <c r="A284" s="28"/>
    </row>
    <row r="285" spans="1:1">
      <c r="A285" s="28"/>
    </row>
    <row r="286" spans="1:1">
      <c r="A286" s="28"/>
    </row>
    <row r="287" spans="1:1">
      <c r="A287" s="28"/>
    </row>
    <row r="288" spans="1:1">
      <c r="A288" s="28"/>
    </row>
    <row r="289" spans="1:1">
      <c r="A289" s="28"/>
    </row>
    <row r="290" spans="1:1">
      <c r="A290" s="28"/>
    </row>
    <row r="291" spans="1:1">
      <c r="A291" s="28"/>
    </row>
    <row r="292" spans="1:1">
      <c r="A292" s="28"/>
    </row>
    <row r="293" spans="1:1">
      <c r="A293" s="28"/>
    </row>
    <row r="294" spans="1:1">
      <c r="A294" s="28"/>
    </row>
    <row r="295" spans="1:1">
      <c r="A295" s="28"/>
    </row>
    <row r="296" spans="1:1">
      <c r="A296" s="28"/>
    </row>
    <row r="297" spans="1:1">
      <c r="A297" s="28"/>
    </row>
    <row r="298" spans="1:1">
      <c r="A298" s="28"/>
    </row>
    <row r="299" spans="1:1">
      <c r="A299" s="28"/>
    </row>
    <row r="300" spans="1:1">
      <c r="A300" s="28"/>
    </row>
    <row r="301" spans="1:1">
      <c r="A301" s="28"/>
    </row>
    <row r="302" spans="1:1">
      <c r="A302" s="28"/>
    </row>
    <row r="303" spans="1:1">
      <c r="A303" s="28"/>
    </row>
    <row r="304" spans="1:1">
      <c r="A304" s="28"/>
    </row>
    <row r="305" spans="1:1">
      <c r="A305" s="28"/>
    </row>
    <row r="306" spans="1:1">
      <c r="A306" s="28"/>
    </row>
    <row r="307" spans="1:1">
      <c r="A307" s="28"/>
    </row>
    <row r="308" spans="1:1">
      <c r="A308" s="28"/>
    </row>
    <row r="309" spans="1:1">
      <c r="A309" s="28"/>
    </row>
    <row r="310" spans="1:1">
      <c r="A310" s="28"/>
    </row>
    <row r="311" spans="1:1">
      <c r="A311" s="28"/>
    </row>
    <row r="312" spans="1:1">
      <c r="A312" s="28"/>
    </row>
    <row r="313" spans="1:1">
      <c r="A313" s="28"/>
    </row>
    <row r="314" spans="1:1">
      <c r="A314" s="28"/>
    </row>
    <row r="315" spans="1:1">
      <c r="A315" s="28"/>
    </row>
    <row r="316" spans="1:1">
      <c r="A316" s="28"/>
    </row>
    <row r="317" spans="1:1">
      <c r="A317" s="28"/>
    </row>
    <row r="318" spans="1:1">
      <c r="A318" s="28"/>
    </row>
    <row r="319" spans="1:1">
      <c r="A319" s="28"/>
    </row>
    <row r="320" spans="1:1">
      <c r="A320" s="28"/>
    </row>
    <row r="321" spans="1:1">
      <c r="A321" s="28"/>
    </row>
    <row r="322" spans="1:1">
      <c r="A322" s="28"/>
    </row>
    <row r="323" spans="1:1">
      <c r="A323" s="28"/>
    </row>
    <row r="324" spans="1:1">
      <c r="A324" s="28"/>
    </row>
    <row r="325" spans="1:1">
      <c r="A325" s="28"/>
    </row>
    <row r="326" spans="1:1">
      <c r="A326" s="28"/>
    </row>
    <row r="327" spans="1:1">
      <c r="A327" s="28"/>
    </row>
    <row r="328" spans="1:1">
      <c r="A328" s="28"/>
    </row>
    <row r="329" spans="1:1">
      <c r="A329" s="28"/>
    </row>
    <row r="330" spans="1:1">
      <c r="A330" s="28"/>
    </row>
    <row r="331" spans="1:1">
      <c r="A331" s="28"/>
    </row>
    <row r="332" spans="1:1">
      <c r="A332" s="28"/>
    </row>
    <row r="333" spans="1:1">
      <c r="A333" s="28"/>
    </row>
    <row r="334" spans="1:1">
      <c r="A334" s="28"/>
    </row>
    <row r="335" spans="1:1">
      <c r="A335" s="28"/>
    </row>
    <row r="336" spans="1:1">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sheetData>
  <mergeCells count="16">
    <mergeCell ref="A1:K1"/>
    <mergeCell ref="A3:A4"/>
    <mergeCell ref="B3:B4"/>
    <mergeCell ref="C3:C4"/>
    <mergeCell ref="D3:D4"/>
    <mergeCell ref="E3:E4"/>
    <mergeCell ref="F3:F4"/>
    <mergeCell ref="G3:J3"/>
    <mergeCell ref="K3:K4"/>
    <mergeCell ref="C156:F156"/>
    <mergeCell ref="H156:J156"/>
    <mergeCell ref="A6:K6"/>
    <mergeCell ref="A131:K131"/>
    <mergeCell ref="A139:K139"/>
    <mergeCell ref="C155:F155"/>
    <mergeCell ref="H155:J155"/>
  </mergeCells>
  <phoneticPr fontId="7" type="noConversion"/>
  <pageMargins left="0.59055118110236227" right="0.39370078740157483" top="0.59055118110236227" bottom="0.39370078740157483" header="0.51181102362204722" footer="0.51181102362204722"/>
  <pageSetup paperSize="9" scale="46" fitToHeight="5" orientation="landscape" r:id="rId1"/>
  <headerFooter alignWithMargins="0">
    <oddHeader>&amp;C
&amp;"Times New Roman,обычный"&amp;14 5&amp;R&amp;"Times New Roman,обычный"&amp;14Продовження додатка 1
Таблиця 1</oddHeader>
  </headerFooter>
  <ignoredErrors>
    <ignoredError sqref="F8 F89 F80 F34:F35 F120 F111 F125 F72 F132:F135 F136:F137 F117" formula="1"/>
    <ignoredError sqref="G138 I138:J13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O205"/>
  <sheetViews>
    <sheetView topLeftCell="A39" zoomScale="70" zoomScaleNormal="70" zoomScaleSheetLayoutView="50" workbookViewId="0">
      <selection activeCell="H55" sqref="H55:J55"/>
    </sheetView>
  </sheetViews>
  <sheetFormatPr defaultColWidth="77.85546875" defaultRowHeight="18.75"/>
  <cols>
    <col min="1" max="1" width="84.85546875" style="23" customWidth="1"/>
    <col min="2" max="2" width="15.28515625" style="25" customWidth="1"/>
    <col min="3" max="3" width="15.85546875" style="195" customWidth="1"/>
    <col min="4" max="5" width="15.85546875" style="25" customWidth="1"/>
    <col min="6" max="10" width="15.85546875" style="23" customWidth="1"/>
    <col min="11" max="11" width="10" style="23" customWidth="1"/>
    <col min="12" max="12" width="19.7109375" style="23" customWidth="1"/>
    <col min="13" max="13" width="11.140625" style="23" bestFit="1" customWidth="1"/>
    <col min="14" max="14" width="25.42578125" style="23" customWidth="1"/>
    <col min="15" max="255" width="9.140625" style="23" customWidth="1"/>
    <col min="256" max="16384" width="77.85546875" style="23"/>
  </cols>
  <sheetData>
    <row r="1" spans="1:15" ht="28.5" customHeight="1">
      <c r="A1" s="367" t="s">
        <v>143</v>
      </c>
      <c r="B1" s="367"/>
      <c r="C1" s="367"/>
      <c r="D1" s="367"/>
      <c r="E1" s="367"/>
      <c r="F1" s="367"/>
      <c r="G1" s="367"/>
      <c r="H1" s="367"/>
      <c r="I1" s="367"/>
      <c r="J1" s="367"/>
    </row>
    <row r="2" spans="1:15" ht="40.5" customHeight="1">
      <c r="A2" s="25"/>
      <c r="F2" s="25"/>
      <c r="G2" s="25"/>
      <c r="H2" s="25"/>
      <c r="I2" s="25"/>
      <c r="J2" s="25"/>
    </row>
    <row r="3" spans="1:15" ht="38.25" customHeight="1">
      <c r="A3" s="351" t="s">
        <v>209</v>
      </c>
      <c r="B3" s="368" t="s">
        <v>18</v>
      </c>
      <c r="C3" s="369" t="s">
        <v>513</v>
      </c>
      <c r="D3" s="352" t="s">
        <v>596</v>
      </c>
      <c r="E3" s="370" t="s">
        <v>805</v>
      </c>
      <c r="F3" s="352" t="s">
        <v>595</v>
      </c>
      <c r="G3" s="352" t="s">
        <v>161</v>
      </c>
      <c r="H3" s="352"/>
      <c r="I3" s="352"/>
      <c r="J3" s="352"/>
    </row>
    <row r="4" spans="1:15" ht="50.25" customHeight="1">
      <c r="A4" s="351"/>
      <c r="B4" s="368"/>
      <c r="C4" s="369"/>
      <c r="D4" s="352"/>
      <c r="E4" s="370"/>
      <c r="F4" s="352"/>
      <c r="G4" s="99" t="s">
        <v>162</v>
      </c>
      <c r="H4" s="99" t="s">
        <v>163</v>
      </c>
      <c r="I4" s="99" t="s">
        <v>164</v>
      </c>
      <c r="J4" s="99" t="s">
        <v>71</v>
      </c>
    </row>
    <row r="5" spans="1:15" ht="18" customHeight="1">
      <c r="A5" s="147">
        <v>1</v>
      </c>
      <c r="B5" s="196">
        <v>2</v>
      </c>
      <c r="C5" s="197">
        <v>3</v>
      </c>
      <c r="D5" s="196">
        <v>4</v>
      </c>
      <c r="E5" s="196">
        <v>5</v>
      </c>
      <c r="F5" s="196">
        <v>6</v>
      </c>
      <c r="G5" s="196">
        <v>7</v>
      </c>
      <c r="H5" s="196">
        <v>8</v>
      </c>
      <c r="I5" s="196">
        <v>9</v>
      </c>
      <c r="J5" s="196">
        <v>10</v>
      </c>
    </row>
    <row r="6" spans="1:15" ht="24.95" customHeight="1">
      <c r="A6" s="371" t="s">
        <v>141</v>
      </c>
      <c r="B6" s="371"/>
      <c r="C6" s="371"/>
      <c r="D6" s="371"/>
      <c r="E6" s="371"/>
      <c r="F6" s="371"/>
      <c r="G6" s="371"/>
      <c r="H6" s="371"/>
      <c r="I6" s="371"/>
      <c r="J6" s="371"/>
    </row>
    <row r="7" spans="1:15" ht="24.95" customHeight="1">
      <c r="A7" s="146" t="s">
        <v>367</v>
      </c>
      <c r="B7" s="126">
        <v>1200</v>
      </c>
      <c r="C7" s="72">
        <f>'I. Фін результат'!C125</f>
        <v>13540</v>
      </c>
      <c r="D7" s="72">
        <f>'I. Фін результат'!D125</f>
        <v>2700</v>
      </c>
      <c r="E7" s="72">
        <f>'I. Фін результат'!E125</f>
        <v>6482</v>
      </c>
      <c r="F7" s="72">
        <f>'I. Фін результат'!F125</f>
        <v>6675</v>
      </c>
      <c r="G7" s="72">
        <f>'I. Фін результат'!G125</f>
        <v>1578</v>
      </c>
      <c r="H7" s="72">
        <f>'I. Фін результат'!H125</f>
        <v>1877</v>
      </c>
      <c r="I7" s="72">
        <f>'I. Фін результат'!I125</f>
        <v>1733</v>
      </c>
      <c r="J7" s="72">
        <f>'I. Фін результат'!J125</f>
        <v>1487</v>
      </c>
      <c r="L7" s="98"/>
      <c r="M7" s="98"/>
      <c r="N7" s="98"/>
      <c r="O7" s="98"/>
    </row>
    <row r="8" spans="1:15" ht="42.75" customHeight="1">
      <c r="A8" s="146" t="s">
        <v>56</v>
      </c>
      <c r="B8" s="126">
        <v>2000</v>
      </c>
      <c r="C8" s="72"/>
      <c r="D8" s="73"/>
      <c r="E8" s="78">
        <f>C23</f>
        <v>-13445.400000000001</v>
      </c>
      <c r="F8" s="72">
        <f>G8</f>
        <v>-12648.4</v>
      </c>
      <c r="G8" s="72">
        <v>-12648.4</v>
      </c>
      <c r="H8" s="72">
        <f>G23</f>
        <v>-12254.4</v>
      </c>
      <c r="I8" s="72">
        <f>H23</f>
        <v>-11316.4</v>
      </c>
      <c r="J8" s="72">
        <f>I23</f>
        <v>-10450.4</v>
      </c>
    </row>
    <row r="9" spans="1:15" ht="37.5">
      <c r="A9" s="146" t="s">
        <v>301</v>
      </c>
      <c r="B9" s="126">
        <v>2010</v>
      </c>
      <c r="C9" s="72">
        <f>SUM(C10:C11)</f>
        <v>-10155</v>
      </c>
      <c r="D9" s="72">
        <f>SUM(D10:D11)</f>
        <v>-2025</v>
      </c>
      <c r="E9" s="72">
        <f>SUM(E10:E11)</f>
        <v>-4861</v>
      </c>
      <c r="F9" s="72">
        <f>SUM(G9:J9)</f>
        <v>-3734</v>
      </c>
      <c r="G9" s="72">
        <f>SUM(G10:G11)</f>
        <v>-1184</v>
      </c>
      <c r="H9" s="72">
        <f>SUM(H10:H11)</f>
        <v>-939</v>
      </c>
      <c r="I9" s="72">
        <f>SUM(I10:I11)</f>
        <v>-867</v>
      </c>
      <c r="J9" s="72">
        <f>SUM(J10:J11)</f>
        <v>-744</v>
      </c>
    </row>
    <row r="10" spans="1:15" ht="37.5">
      <c r="A10" s="143" t="s">
        <v>175</v>
      </c>
      <c r="B10" s="126">
        <v>2011</v>
      </c>
      <c r="C10" s="72">
        <v>-10155</v>
      </c>
      <c r="D10" s="72">
        <f>-ROUND('I. Фін результат'!D125*0.75,0)</f>
        <v>-2025</v>
      </c>
      <c r="E10" s="72">
        <f>-ROUNDDOWN('I. Фін результат'!E125*0.75,0)</f>
        <v>-4861</v>
      </c>
      <c r="F10" s="72">
        <f t="shared" ref="F10:F19" si="0">SUM(G10:J10)</f>
        <v>-3734</v>
      </c>
      <c r="G10" s="72">
        <f>ROUND((-'I. Фін результат'!G126*0.75),0)</f>
        <v>-1184</v>
      </c>
      <c r="H10" s="72">
        <f>ROUND((-'I. Фін результат'!H126*0.5),0)</f>
        <v>-939</v>
      </c>
      <c r="I10" s="72">
        <f>ROUND((-'I. Фін результат'!I126*0.5),0)</f>
        <v>-867</v>
      </c>
      <c r="J10" s="72">
        <f>ROUND((-'I. Фін результат'!J126*0.5),0)</f>
        <v>-744</v>
      </c>
      <c r="N10" s="60"/>
    </row>
    <row r="11" spans="1:15" ht="42.75" customHeight="1">
      <c r="A11" s="143" t="s">
        <v>391</v>
      </c>
      <c r="B11" s="126">
        <v>2012</v>
      </c>
      <c r="C11" s="72" t="s">
        <v>251</v>
      </c>
      <c r="D11" s="78" t="s">
        <v>251</v>
      </c>
      <c r="E11" s="72" t="s">
        <v>251</v>
      </c>
      <c r="F11" s="72">
        <f t="shared" si="0"/>
        <v>0</v>
      </c>
      <c r="G11" s="72" t="s">
        <v>251</v>
      </c>
      <c r="H11" s="72" t="s">
        <v>251</v>
      </c>
      <c r="I11" s="72" t="s">
        <v>251</v>
      </c>
      <c r="J11" s="72" t="s">
        <v>251</v>
      </c>
    </row>
    <row r="12" spans="1:15" ht="20.100000000000001" customHeight="1">
      <c r="A12" s="143" t="s">
        <v>154</v>
      </c>
      <c r="B12" s="126" t="s">
        <v>186</v>
      </c>
      <c r="C12" s="72" t="s">
        <v>251</v>
      </c>
      <c r="D12" s="78" t="s">
        <v>251</v>
      </c>
      <c r="E12" s="72" t="s">
        <v>251</v>
      </c>
      <c r="F12" s="72">
        <f t="shared" si="0"/>
        <v>0</v>
      </c>
      <c r="G12" s="72" t="s">
        <v>251</v>
      </c>
      <c r="H12" s="72" t="s">
        <v>251</v>
      </c>
      <c r="I12" s="72" t="s">
        <v>251</v>
      </c>
      <c r="J12" s="72" t="s">
        <v>251</v>
      </c>
    </row>
    <row r="13" spans="1:15" ht="20.100000000000001" customHeight="1">
      <c r="A13" s="143" t="s">
        <v>167</v>
      </c>
      <c r="B13" s="126">
        <v>2020</v>
      </c>
      <c r="C13" s="72"/>
      <c r="D13" s="78"/>
      <c r="E13" s="72"/>
      <c r="F13" s="72">
        <f t="shared" si="0"/>
        <v>0</v>
      </c>
      <c r="G13" s="72"/>
      <c r="H13" s="72"/>
      <c r="I13" s="72"/>
      <c r="J13" s="72"/>
    </row>
    <row r="14" spans="1:15" s="24" customFormat="1" ht="20.100000000000001" customHeight="1">
      <c r="A14" s="146" t="s">
        <v>67</v>
      </c>
      <c r="B14" s="126">
        <v>2030</v>
      </c>
      <c r="C14" s="72">
        <v>0</v>
      </c>
      <c r="D14" s="78"/>
      <c r="E14" s="72"/>
      <c r="F14" s="72">
        <f t="shared" si="0"/>
        <v>0</v>
      </c>
      <c r="G14" s="72">
        <f>-'6.2. Інша інфо_2'!R60</f>
        <v>0</v>
      </c>
      <c r="H14" s="72">
        <f>-'6.2. Інша інфо_2'!S60</f>
        <v>0</v>
      </c>
      <c r="I14" s="72">
        <f>-'6.2. Інша інфо_2'!T60</f>
        <v>0</v>
      </c>
      <c r="J14" s="72"/>
    </row>
    <row r="15" spans="1:15" ht="20.100000000000001" customHeight="1">
      <c r="A15" s="146" t="s">
        <v>128</v>
      </c>
      <c r="B15" s="126">
        <v>2031</v>
      </c>
      <c r="C15" s="72">
        <v>0</v>
      </c>
      <c r="D15" s="78" t="s">
        <v>251</v>
      </c>
      <c r="E15" s="72" t="s">
        <v>251</v>
      </c>
      <c r="F15" s="72">
        <f t="shared" si="0"/>
        <v>0</v>
      </c>
      <c r="G15" s="72" t="s">
        <v>251</v>
      </c>
      <c r="H15" s="72" t="s">
        <v>251</v>
      </c>
      <c r="I15" s="72" t="s">
        <v>251</v>
      </c>
      <c r="J15" s="72" t="s">
        <v>251</v>
      </c>
    </row>
    <row r="16" spans="1:15" ht="20.100000000000001" customHeight="1">
      <c r="A16" s="146" t="s">
        <v>29</v>
      </c>
      <c r="B16" s="126">
        <v>2040</v>
      </c>
      <c r="C16" s="72" t="s">
        <v>251</v>
      </c>
      <c r="D16" s="78" t="s">
        <v>251</v>
      </c>
      <c r="E16" s="72" t="s">
        <v>251</v>
      </c>
      <c r="F16" s="72">
        <f t="shared" si="0"/>
        <v>0</v>
      </c>
      <c r="G16" s="72" t="s">
        <v>251</v>
      </c>
      <c r="H16" s="72" t="s">
        <v>251</v>
      </c>
      <c r="I16" s="72" t="s">
        <v>251</v>
      </c>
      <c r="J16" s="72" t="s">
        <v>251</v>
      </c>
    </row>
    <row r="17" spans="1:11" ht="20.100000000000001" customHeight="1">
      <c r="A17" s="146" t="s">
        <v>115</v>
      </c>
      <c r="B17" s="126">
        <v>2050</v>
      </c>
      <c r="C17" s="72">
        <f>C18+C19</f>
        <v>-721.4</v>
      </c>
      <c r="D17" s="78">
        <f>D18+D19</f>
        <v>0</v>
      </c>
      <c r="E17" s="72">
        <f>E18+E19</f>
        <v>0</v>
      </c>
      <c r="F17" s="72">
        <f t="shared" si="0"/>
        <v>0</v>
      </c>
      <c r="G17" s="72" t="s">
        <v>251</v>
      </c>
      <c r="H17" s="72" t="s">
        <v>251</v>
      </c>
      <c r="I17" s="72" t="s">
        <v>251</v>
      </c>
      <c r="J17" s="72"/>
    </row>
    <row r="18" spans="1:11" ht="20.100000000000001" customHeight="1">
      <c r="A18" s="146" t="s">
        <v>484</v>
      </c>
      <c r="B18" s="126" t="s">
        <v>591</v>
      </c>
      <c r="C18" s="72"/>
      <c r="D18" s="78"/>
      <c r="E18" s="72">
        <v>0</v>
      </c>
      <c r="F18" s="72">
        <f t="shared" si="0"/>
        <v>0</v>
      </c>
      <c r="G18" s="72"/>
      <c r="H18" s="72"/>
      <c r="I18" s="72"/>
      <c r="J18" s="72"/>
    </row>
    <row r="19" spans="1:11" ht="20.100000000000001" customHeight="1">
      <c r="A19" s="146" t="s">
        <v>536</v>
      </c>
      <c r="B19" s="126" t="s">
        <v>592</v>
      </c>
      <c r="C19" s="72">
        <v>-721.4</v>
      </c>
      <c r="D19" s="78"/>
      <c r="E19" s="72">
        <v>0</v>
      </c>
      <c r="F19" s="72">
        <f t="shared" si="0"/>
        <v>0</v>
      </c>
      <c r="G19" s="72"/>
      <c r="H19" s="72"/>
      <c r="I19" s="72"/>
      <c r="J19" s="72"/>
    </row>
    <row r="20" spans="1:11" ht="20.100000000000001" customHeight="1">
      <c r="A20" s="146" t="s">
        <v>116</v>
      </c>
      <c r="B20" s="126">
        <v>2060</v>
      </c>
      <c r="C20" s="72">
        <v>-16109</v>
      </c>
      <c r="D20" s="72">
        <f>SUM(D21:D22)</f>
        <v>-13933.4</v>
      </c>
      <c r="E20" s="72">
        <f>SUM(E21:E22)</f>
        <v>-715</v>
      </c>
      <c r="F20" s="72">
        <f>F21</f>
        <v>0</v>
      </c>
      <c r="G20" s="72"/>
      <c r="H20" s="72"/>
      <c r="I20" s="72" t="s">
        <v>461</v>
      </c>
      <c r="J20" s="72"/>
    </row>
    <row r="21" spans="1:11" ht="20.100000000000001" customHeight="1">
      <c r="A21" s="146" t="s">
        <v>585</v>
      </c>
      <c r="B21" s="126" t="s">
        <v>590</v>
      </c>
      <c r="C21" s="72"/>
      <c r="D21" s="78"/>
      <c r="E21" s="72">
        <v>-715</v>
      </c>
      <c r="F21" s="72"/>
      <c r="G21" s="72"/>
      <c r="H21" s="72"/>
      <c r="I21" s="72"/>
      <c r="J21" s="72"/>
    </row>
    <row r="22" spans="1:11" ht="35.25" customHeight="1">
      <c r="A22" s="146" t="s">
        <v>610</v>
      </c>
      <c r="B22" s="126" t="s">
        <v>605</v>
      </c>
      <c r="C22" s="72"/>
      <c r="D22" s="72">
        <v>-13933.4</v>
      </c>
      <c r="E22" s="72"/>
      <c r="F22" s="72"/>
      <c r="G22" s="72"/>
      <c r="H22" s="72"/>
      <c r="I22" s="72"/>
      <c r="J22" s="72"/>
    </row>
    <row r="23" spans="1:11" ht="42.75" customHeight="1">
      <c r="A23" s="146" t="s">
        <v>57</v>
      </c>
      <c r="B23" s="126">
        <v>2070</v>
      </c>
      <c r="C23" s="72">
        <f>SUM(C8,C9,C13,C14,C16,C17,C20)+C7</f>
        <v>-13445.400000000001</v>
      </c>
      <c r="D23" s="72">
        <f t="shared" ref="D23:J23" si="1">SUM(D8,D9,D13,D14,D16,D17,D20)+D7</f>
        <v>-13258.4</v>
      </c>
      <c r="E23" s="72">
        <f t="shared" si="1"/>
        <v>-12539.400000000001</v>
      </c>
      <c r="F23" s="72">
        <f t="shared" si="1"/>
        <v>-9707.4</v>
      </c>
      <c r="G23" s="72">
        <f t="shared" si="1"/>
        <v>-12254.4</v>
      </c>
      <c r="H23" s="72">
        <f t="shared" si="1"/>
        <v>-11316.4</v>
      </c>
      <c r="I23" s="72">
        <f>SUM(I8,I9,I13,I14,I16,I17,I20)+I7</f>
        <v>-10450.4</v>
      </c>
      <c r="J23" s="72">
        <f t="shared" si="1"/>
        <v>-9707.4</v>
      </c>
    </row>
    <row r="24" spans="1:11" ht="20.100000000000001" customHeight="1">
      <c r="A24" s="371" t="s">
        <v>356</v>
      </c>
      <c r="B24" s="371"/>
      <c r="C24" s="371"/>
      <c r="D24" s="371"/>
      <c r="E24" s="371"/>
      <c r="F24" s="371"/>
      <c r="G24" s="371"/>
      <c r="H24" s="371"/>
      <c r="I24" s="371"/>
      <c r="J24" s="371"/>
    </row>
    <row r="25" spans="1:11" ht="37.5">
      <c r="A25" s="145" t="s">
        <v>349</v>
      </c>
      <c r="B25" s="198">
        <v>2110</v>
      </c>
      <c r="C25" s="79">
        <f>SUM(C26:C34)</f>
        <v>99689.8</v>
      </c>
      <c r="D25" s="79">
        <f>SUM(D26:D34)</f>
        <v>7966</v>
      </c>
      <c r="E25" s="79">
        <f>SUM(E26:E34)</f>
        <v>7812</v>
      </c>
      <c r="F25" s="79">
        <f t="shared" ref="F25:F34" si="2">SUM(G25:J25)</f>
        <v>7083</v>
      </c>
      <c r="G25" s="79">
        <f>SUM(G26:G34)</f>
        <v>1925</v>
      </c>
      <c r="H25" s="79">
        <f>SUM(H26:H34)</f>
        <v>2105</v>
      </c>
      <c r="I25" s="79">
        <f>SUM(I26:I34)</f>
        <v>1617</v>
      </c>
      <c r="J25" s="79">
        <f>SUM(J26:J34)</f>
        <v>1436</v>
      </c>
    </row>
    <row r="26" spans="1:11" ht="33" customHeight="1">
      <c r="A26" s="143" t="s">
        <v>310</v>
      </c>
      <c r="B26" s="126">
        <v>2111</v>
      </c>
      <c r="C26" s="72">
        <v>23609</v>
      </c>
      <c r="D26" s="72">
        <v>3231</v>
      </c>
      <c r="E26" s="72">
        <f>364+819</f>
        <v>1183</v>
      </c>
      <c r="F26" s="72">
        <f t="shared" si="2"/>
        <v>1351</v>
      </c>
      <c r="G26" s="72">
        <f>ROUND(G30*0.18,0)</f>
        <v>216</v>
      </c>
      <c r="H26" s="72">
        <v>810</v>
      </c>
      <c r="I26" s="72">
        <f>ROUND(I30*0.18,0)</f>
        <v>169</v>
      </c>
      <c r="J26" s="72">
        <f>ROUND(J30*0.18,0)</f>
        <v>156</v>
      </c>
      <c r="K26" s="52"/>
    </row>
    <row r="27" spans="1:11" ht="37.5">
      <c r="A27" s="143" t="s">
        <v>373</v>
      </c>
      <c r="B27" s="126">
        <v>2112</v>
      </c>
      <c r="C27" s="72">
        <v>165</v>
      </c>
      <c r="D27" s="72">
        <v>130</v>
      </c>
      <c r="E27" s="72">
        <v>167</v>
      </c>
      <c r="F27" s="72">
        <f t="shared" si="2"/>
        <v>15</v>
      </c>
      <c r="G27" s="72">
        <v>15</v>
      </c>
      <c r="H27" s="199"/>
      <c r="I27" s="199"/>
      <c r="J27" s="199"/>
    </row>
    <row r="28" spans="1:11" s="24" customFormat="1" ht="37.5">
      <c r="A28" s="146" t="s">
        <v>374</v>
      </c>
      <c r="B28" s="147">
        <v>2113</v>
      </c>
      <c r="C28" s="72"/>
      <c r="D28" s="72">
        <v>0</v>
      </c>
      <c r="E28" s="72"/>
      <c r="F28" s="72">
        <f t="shared" si="2"/>
        <v>-292</v>
      </c>
      <c r="G28" s="72"/>
      <c r="H28" s="72">
        <v>-292</v>
      </c>
      <c r="I28" s="72"/>
      <c r="J28" s="72"/>
    </row>
    <row r="29" spans="1:11">
      <c r="A29" s="146" t="s">
        <v>87</v>
      </c>
      <c r="B29" s="147">
        <v>2114</v>
      </c>
      <c r="C29" s="72"/>
      <c r="D29" s="72"/>
      <c r="E29" s="72"/>
      <c r="F29" s="72">
        <f t="shared" si="2"/>
        <v>0</v>
      </c>
      <c r="G29" s="72"/>
      <c r="H29" s="72"/>
      <c r="I29" s="72"/>
      <c r="J29" s="72"/>
    </row>
    <row r="30" spans="1:11" ht="37.5">
      <c r="A30" s="146" t="s">
        <v>353</v>
      </c>
      <c r="B30" s="147">
        <v>2115</v>
      </c>
      <c r="C30" s="72">
        <v>74261.2</v>
      </c>
      <c r="D30" s="72">
        <v>2395</v>
      </c>
      <c r="E30" s="72">
        <f>4629</f>
        <v>4629</v>
      </c>
      <c r="F30" s="72">
        <f t="shared" si="2"/>
        <v>4066</v>
      </c>
      <c r="G30" s="72">
        <v>1200</v>
      </c>
      <c r="H30" s="72">
        <v>1060</v>
      </c>
      <c r="I30" s="72">
        <f>-H9</f>
        <v>939</v>
      </c>
      <c r="J30" s="72">
        <f>-I10</f>
        <v>867</v>
      </c>
    </row>
    <row r="31" spans="1:11">
      <c r="A31" s="146" t="s">
        <v>105</v>
      </c>
      <c r="B31" s="147">
        <v>2116</v>
      </c>
      <c r="C31" s="72"/>
      <c r="D31" s="73"/>
      <c r="E31" s="73"/>
      <c r="F31" s="72">
        <f t="shared" si="2"/>
        <v>0</v>
      </c>
      <c r="G31" s="72"/>
      <c r="H31" s="72"/>
      <c r="I31" s="72"/>
      <c r="J31" s="72"/>
    </row>
    <row r="32" spans="1:11">
      <c r="A32" s="146" t="s">
        <v>375</v>
      </c>
      <c r="B32" s="147">
        <v>2117</v>
      </c>
      <c r="C32" s="72"/>
      <c r="D32" s="73"/>
      <c r="E32" s="73"/>
      <c r="F32" s="72">
        <f t="shared" si="2"/>
        <v>0</v>
      </c>
      <c r="G32" s="72"/>
      <c r="H32" s="72"/>
      <c r="I32" s="72"/>
      <c r="J32" s="72"/>
    </row>
    <row r="33" spans="1:12">
      <c r="A33" s="146" t="s">
        <v>86</v>
      </c>
      <c r="B33" s="147">
        <v>2118</v>
      </c>
      <c r="C33" s="72"/>
      <c r="D33" s="73"/>
      <c r="E33" s="73"/>
      <c r="F33" s="72">
        <f t="shared" si="2"/>
        <v>0</v>
      </c>
      <c r="G33" s="72"/>
      <c r="H33" s="72"/>
      <c r="I33" s="72"/>
      <c r="J33" s="72"/>
    </row>
    <row r="34" spans="1:12" s="26" customFormat="1">
      <c r="A34" s="146" t="s">
        <v>357</v>
      </c>
      <c r="B34" s="147">
        <v>2119</v>
      </c>
      <c r="C34" s="72">
        <v>1654.6</v>
      </c>
      <c r="D34" s="72">
        <f>SUM(D35:D36)</f>
        <v>2210</v>
      </c>
      <c r="E34" s="72">
        <f>SUM(E35:E36)</f>
        <v>1833</v>
      </c>
      <c r="F34" s="72">
        <f t="shared" si="2"/>
        <v>1943</v>
      </c>
      <c r="G34" s="72">
        <f>G35+G36</f>
        <v>494</v>
      </c>
      <c r="H34" s="72">
        <f>H35+H36</f>
        <v>527</v>
      </c>
      <c r="I34" s="72">
        <f>I35+I36</f>
        <v>509</v>
      </c>
      <c r="J34" s="72">
        <f>J35+J36</f>
        <v>413</v>
      </c>
      <c r="K34" s="23"/>
    </row>
    <row r="35" spans="1:12" s="26" customFormat="1">
      <c r="A35" s="146" t="s">
        <v>455</v>
      </c>
      <c r="B35" s="147" t="s">
        <v>456</v>
      </c>
      <c r="C35" s="72">
        <v>388</v>
      </c>
      <c r="D35" s="72">
        <v>721</v>
      </c>
      <c r="E35" s="72">
        <v>556</v>
      </c>
      <c r="F35" s="72">
        <f>G35+H35+I35+J35</f>
        <v>351</v>
      </c>
      <c r="G35" s="72">
        <v>110</v>
      </c>
      <c r="H35" s="72">
        <v>110</v>
      </c>
      <c r="I35" s="72">
        <v>110</v>
      </c>
      <c r="J35" s="72">
        <v>21</v>
      </c>
      <c r="K35" s="23"/>
    </row>
    <row r="36" spans="1:12" s="26" customFormat="1">
      <c r="A36" s="146" t="s">
        <v>542</v>
      </c>
      <c r="B36" s="147" t="s">
        <v>543</v>
      </c>
      <c r="C36" s="72">
        <v>1266.5999999999999</v>
      </c>
      <c r="D36" s="72">
        <v>1489</v>
      </c>
      <c r="E36" s="72">
        <v>1277</v>
      </c>
      <c r="F36" s="72">
        <f>G36+H36+I36+J36</f>
        <v>1592</v>
      </c>
      <c r="G36" s="72">
        <f>ROUND('I. Фін результат'!G143*0.015,0)</f>
        <v>384</v>
      </c>
      <c r="H36" s="72">
        <f>ROUND('I. Фін результат'!H143*0.015,0)</f>
        <v>417</v>
      </c>
      <c r="I36" s="72">
        <f>ROUND('I. Фін результат'!I143*0.015,0)</f>
        <v>399</v>
      </c>
      <c r="J36" s="72">
        <f>ROUND('I. Фін результат'!J143*0.015,0)</f>
        <v>392</v>
      </c>
      <c r="K36" s="23"/>
      <c r="L36" s="81"/>
    </row>
    <row r="37" spans="1:12" s="26" customFormat="1" ht="37.5">
      <c r="A37" s="145" t="s">
        <v>358</v>
      </c>
      <c r="B37" s="200">
        <v>2120</v>
      </c>
      <c r="C37" s="79">
        <f>SUM(C38:C41)</f>
        <v>15634.199999999999</v>
      </c>
      <c r="D37" s="79">
        <f>SUM(D38:D41)</f>
        <v>18486</v>
      </c>
      <c r="E37" s="79">
        <f>SUM(E38:E41)</f>
        <v>15932</v>
      </c>
      <c r="F37" s="79">
        <f t="shared" ref="F37:F50" si="3">SUM(G37:J37)</f>
        <v>19729</v>
      </c>
      <c r="G37" s="79">
        <f>SUM(G38:G41)</f>
        <v>4968</v>
      </c>
      <c r="H37" s="79">
        <f>SUM(H38:H41)</f>
        <v>5096</v>
      </c>
      <c r="I37" s="79">
        <f>SUM(I38:I41)</f>
        <v>4871</v>
      </c>
      <c r="J37" s="79">
        <f>SUM(J38:J41)</f>
        <v>4794</v>
      </c>
      <c r="K37" s="23"/>
    </row>
    <row r="38" spans="1:12" s="26" customFormat="1">
      <c r="A38" s="146" t="s">
        <v>86</v>
      </c>
      <c r="B38" s="147">
        <v>2121</v>
      </c>
      <c r="C38" s="72">
        <v>15188.6</v>
      </c>
      <c r="D38" s="72">
        <v>17867</v>
      </c>
      <c r="E38" s="72">
        <v>15335</v>
      </c>
      <c r="F38" s="72">
        <f t="shared" si="3"/>
        <v>19109</v>
      </c>
      <c r="G38" s="72">
        <f>ROUND('I. Фін результат'!G143*0.18,0)</f>
        <v>4612</v>
      </c>
      <c r="H38" s="72">
        <f>ROUND('I. Фін результат'!H143*0.18,0)</f>
        <v>5008</v>
      </c>
      <c r="I38" s="72">
        <f>ROUND('I. Фін результат'!I143*0.18,0)</f>
        <v>4783</v>
      </c>
      <c r="J38" s="72">
        <f>ROUND('I. Фін результат'!J143*0.18,0)</f>
        <v>4706</v>
      </c>
      <c r="K38" s="23"/>
      <c r="L38" s="81"/>
    </row>
    <row r="39" spans="1:12" s="26" customFormat="1">
      <c r="A39" s="146" t="s">
        <v>364</v>
      </c>
      <c r="B39" s="147">
        <v>2122</v>
      </c>
      <c r="C39" s="72">
        <v>0.8</v>
      </c>
      <c r="D39" s="72">
        <v>143</v>
      </c>
      <c r="E39" s="72">
        <v>179</v>
      </c>
      <c r="F39" s="72">
        <f t="shared" si="3"/>
        <v>172</v>
      </c>
      <c r="G39" s="72">
        <v>172</v>
      </c>
      <c r="H39" s="72"/>
      <c r="I39" s="72"/>
      <c r="J39" s="72"/>
      <c r="K39" s="23"/>
    </row>
    <row r="40" spans="1:12" s="26" customFormat="1">
      <c r="A40" s="146" t="s">
        <v>365</v>
      </c>
      <c r="B40" s="147">
        <v>2123</v>
      </c>
      <c r="C40" s="72">
        <v>443.3</v>
      </c>
      <c r="D40" s="72">
        <v>466</v>
      </c>
      <c r="E40" s="72">
        <v>400</v>
      </c>
      <c r="F40" s="72">
        <f t="shared" si="3"/>
        <v>394</v>
      </c>
      <c r="G40" s="72">
        <v>130</v>
      </c>
      <c r="H40" s="72">
        <v>88</v>
      </c>
      <c r="I40" s="72">
        <v>88</v>
      </c>
      <c r="J40" s="72">
        <v>88</v>
      </c>
      <c r="K40" s="23"/>
    </row>
    <row r="41" spans="1:12" s="26" customFormat="1">
      <c r="A41" s="146" t="s">
        <v>528</v>
      </c>
      <c r="B41" s="147">
        <v>2124</v>
      </c>
      <c r="C41" s="72">
        <v>1.5</v>
      </c>
      <c r="D41" s="72">
        <v>10</v>
      </c>
      <c r="E41" s="72">
        <v>18</v>
      </c>
      <c r="F41" s="72">
        <f t="shared" si="3"/>
        <v>54</v>
      </c>
      <c r="G41" s="72">
        <f>54</f>
        <v>54</v>
      </c>
      <c r="H41" s="72"/>
      <c r="I41" s="72"/>
      <c r="J41" s="72"/>
      <c r="K41" s="23"/>
    </row>
    <row r="42" spans="1:12" s="26" customFormat="1" ht="37.5">
      <c r="A42" s="145" t="s">
        <v>352</v>
      </c>
      <c r="B42" s="200">
        <v>2130</v>
      </c>
      <c r="C42" s="79">
        <f>SUM(C43:C46)</f>
        <v>17384</v>
      </c>
      <c r="D42" s="79">
        <f>SUM(D43:D46)</f>
        <v>21947</v>
      </c>
      <c r="E42" s="79">
        <f>SUM(E43:E46)</f>
        <v>18166</v>
      </c>
      <c r="F42" s="79">
        <f t="shared" si="3"/>
        <v>23354</v>
      </c>
      <c r="G42" s="79">
        <f>SUM(G43:G46)</f>
        <v>5636</v>
      </c>
      <c r="H42" s="79">
        <f>SUM(H43:H46)</f>
        <v>6120</v>
      </c>
      <c r="I42" s="79">
        <f>SUM(I43:I46)</f>
        <v>5845</v>
      </c>
      <c r="J42" s="79">
        <f>SUM(J43:J46)</f>
        <v>5753</v>
      </c>
      <c r="K42" s="23"/>
    </row>
    <row r="43" spans="1:12" ht="57" customHeight="1">
      <c r="A43" s="146" t="s">
        <v>376</v>
      </c>
      <c r="B43" s="147">
        <v>2131</v>
      </c>
      <c r="C43" s="72"/>
      <c r="D43" s="72"/>
      <c r="E43" s="72"/>
      <c r="F43" s="72">
        <f t="shared" si="3"/>
        <v>0</v>
      </c>
      <c r="G43" s="72"/>
      <c r="H43" s="72"/>
      <c r="I43" s="72"/>
      <c r="J43" s="72"/>
    </row>
    <row r="44" spans="1:12" ht="20.100000000000001" customHeight="1">
      <c r="A44" s="146" t="s">
        <v>359</v>
      </c>
      <c r="B44" s="147">
        <v>2132</v>
      </c>
      <c r="C44" s="72"/>
      <c r="D44" s="72"/>
      <c r="E44" s="72"/>
      <c r="F44" s="72">
        <f t="shared" si="3"/>
        <v>0</v>
      </c>
      <c r="G44" s="72"/>
      <c r="H44" s="72"/>
      <c r="I44" s="72"/>
      <c r="J44" s="72"/>
    </row>
    <row r="45" spans="1:12" ht="20.100000000000001" customHeight="1">
      <c r="A45" s="146" t="s">
        <v>360</v>
      </c>
      <c r="B45" s="147">
        <v>2133</v>
      </c>
      <c r="C45" s="72">
        <v>17384</v>
      </c>
      <c r="D45" s="72">
        <v>21947</v>
      </c>
      <c r="E45" s="72">
        <v>18166</v>
      </c>
      <c r="F45" s="72">
        <f t="shared" si="3"/>
        <v>23354</v>
      </c>
      <c r="G45" s="72">
        <f>'I. Фін результат'!G144</f>
        <v>5636</v>
      </c>
      <c r="H45" s="72">
        <f>'I. Фін результат'!H144</f>
        <v>6120</v>
      </c>
      <c r="I45" s="72">
        <f>'I. Фін результат'!I144</f>
        <v>5845</v>
      </c>
      <c r="J45" s="72">
        <f>'I. Фін результат'!J144</f>
        <v>5753</v>
      </c>
    </row>
    <row r="46" spans="1:12" ht="20.100000000000001" customHeight="1">
      <c r="A46" s="146" t="s">
        <v>361</v>
      </c>
      <c r="B46" s="147">
        <v>2134</v>
      </c>
      <c r="C46" s="72"/>
      <c r="D46" s="72"/>
      <c r="E46" s="72"/>
      <c r="F46" s="72">
        <f t="shared" si="3"/>
        <v>0</v>
      </c>
      <c r="G46" s="72"/>
      <c r="H46" s="72"/>
      <c r="I46" s="72"/>
      <c r="J46" s="72"/>
    </row>
    <row r="47" spans="1:12" s="24" customFormat="1">
      <c r="A47" s="145" t="s">
        <v>362</v>
      </c>
      <c r="B47" s="200">
        <v>2140</v>
      </c>
      <c r="C47" s="79">
        <f>SUM(C48,C49)</f>
        <v>0</v>
      </c>
      <c r="D47" s="79">
        <f>SUM(D48,D49)</f>
        <v>0</v>
      </c>
      <c r="E47" s="79">
        <f>SUM(E48,E49)</f>
        <v>0</v>
      </c>
      <c r="F47" s="79">
        <f t="shared" si="3"/>
        <v>0</v>
      </c>
      <c r="G47" s="79">
        <f>SUM(G48,G49)</f>
        <v>0</v>
      </c>
      <c r="H47" s="79">
        <f>SUM(H48,H49)</f>
        <v>0</v>
      </c>
      <c r="I47" s="79">
        <f>SUM(I48,I49)</f>
        <v>0</v>
      </c>
      <c r="J47" s="79">
        <f>SUM(J48,J49)</f>
        <v>0</v>
      </c>
    </row>
    <row r="48" spans="1:12" ht="42.75" customHeight="1">
      <c r="A48" s="146" t="s">
        <v>302</v>
      </c>
      <c r="B48" s="147">
        <v>2141</v>
      </c>
      <c r="C48" s="72"/>
      <c r="D48" s="72"/>
      <c r="E48" s="72"/>
      <c r="F48" s="72">
        <f t="shared" si="3"/>
        <v>0</v>
      </c>
      <c r="G48" s="72"/>
      <c r="H48" s="72"/>
      <c r="I48" s="72"/>
      <c r="J48" s="72"/>
    </row>
    <row r="49" spans="1:12" ht="20.100000000000001" customHeight="1">
      <c r="A49" s="146" t="s">
        <v>363</v>
      </c>
      <c r="B49" s="147">
        <v>2142</v>
      </c>
      <c r="C49" s="72"/>
      <c r="D49" s="72"/>
      <c r="E49" s="72"/>
      <c r="F49" s="72">
        <f t="shared" si="3"/>
        <v>0</v>
      </c>
      <c r="G49" s="72"/>
      <c r="H49" s="72"/>
      <c r="I49" s="72"/>
      <c r="J49" s="72"/>
    </row>
    <row r="50" spans="1:12" s="24" customFormat="1" ht="27.75" customHeight="1">
      <c r="A50" s="145" t="s">
        <v>351</v>
      </c>
      <c r="B50" s="200">
        <v>2200</v>
      </c>
      <c r="C50" s="79">
        <f>SUM(C25,C37,C42,C47)</f>
        <v>132708</v>
      </c>
      <c r="D50" s="79">
        <f>SUM(D25,D37,D42,D47)</f>
        <v>48399</v>
      </c>
      <c r="E50" s="79">
        <f>SUM(E25,E37,E42,E47)</f>
        <v>41910</v>
      </c>
      <c r="F50" s="79">
        <f t="shared" si="3"/>
        <v>50166</v>
      </c>
      <c r="G50" s="79">
        <f>SUM(G25,G37,G42,G47)</f>
        <v>12529</v>
      </c>
      <c r="H50" s="79">
        <f>SUM(H25,H37,H42,H47)</f>
        <v>13321</v>
      </c>
      <c r="I50" s="79">
        <f>SUM(I25,I37,I42,I47)</f>
        <v>12333</v>
      </c>
      <c r="J50" s="79">
        <f>SUM(J25,J37,J42,J47)</f>
        <v>11983</v>
      </c>
      <c r="K50" s="23"/>
    </row>
    <row r="51" spans="1:12" s="24" customFormat="1" ht="20.100000000000001" customHeight="1">
      <c r="A51" s="201"/>
      <c r="B51" s="25"/>
      <c r="C51" s="202"/>
      <c r="D51" s="203"/>
      <c r="E51" s="203"/>
      <c r="F51" s="204"/>
      <c r="G51" s="203"/>
      <c r="H51" s="203"/>
      <c r="I51" s="203"/>
      <c r="J51" s="203"/>
    </row>
    <row r="52" spans="1:12" s="24" customFormat="1" ht="20.100000000000001" customHeight="1">
      <c r="A52" s="201"/>
      <c r="B52" s="25"/>
      <c r="C52" s="202"/>
      <c r="D52" s="203"/>
      <c r="E52" s="203"/>
      <c r="F52" s="204"/>
      <c r="G52" s="203"/>
      <c r="H52" s="203"/>
      <c r="I52" s="203"/>
      <c r="J52" s="203"/>
    </row>
    <row r="53" spans="1:12" s="24" customFormat="1" ht="20.100000000000001" customHeight="1">
      <c r="A53" s="201"/>
      <c r="B53" s="25"/>
      <c r="C53" s="202"/>
      <c r="D53" s="203"/>
      <c r="E53" s="203"/>
      <c r="F53" s="204"/>
      <c r="G53" s="203"/>
      <c r="H53" s="203"/>
      <c r="I53" s="203"/>
      <c r="J53" s="203"/>
    </row>
    <row r="54" spans="1:12" s="120" customFormat="1" ht="20.100000000000001" customHeight="1">
      <c r="A54" s="115" t="str">
        <f>'Осн. фін. пок.'!A144</f>
        <v>Т.в.о. директора</v>
      </c>
      <c r="B54" s="166"/>
      <c r="C54" s="357" t="s">
        <v>106</v>
      </c>
      <c r="D54" s="358"/>
      <c r="E54" s="358"/>
      <c r="F54" s="358"/>
      <c r="G54" s="77"/>
      <c r="H54" s="359" t="str">
        <f>'Осн. фін. пок.'!H144</f>
        <v>Р.М. Мікрух</v>
      </c>
      <c r="I54" s="359"/>
      <c r="J54" s="359"/>
    </row>
    <row r="55" spans="1:12" s="81" customFormat="1" ht="20.100000000000001" customHeight="1">
      <c r="A55" s="114"/>
      <c r="B55" s="120"/>
      <c r="C55" s="336" t="s">
        <v>220</v>
      </c>
      <c r="D55" s="336"/>
      <c r="E55" s="336"/>
      <c r="F55" s="336"/>
      <c r="G55" s="118"/>
      <c r="H55" s="335"/>
      <c r="I55" s="335"/>
      <c r="J55" s="335"/>
    </row>
    <row r="56" spans="1:12" s="25" customFormat="1">
      <c r="A56" s="205"/>
      <c r="C56" s="195"/>
      <c r="F56" s="23"/>
      <c r="G56" s="23"/>
      <c r="H56" s="23"/>
      <c r="I56" s="23"/>
      <c r="J56" s="23"/>
      <c r="K56" s="23"/>
      <c r="L56" s="23"/>
    </row>
    <row r="57" spans="1:12" s="25" customFormat="1">
      <c r="A57" s="205"/>
      <c r="C57" s="195"/>
      <c r="F57" s="23"/>
      <c r="G57" s="23"/>
      <c r="H57" s="23"/>
      <c r="I57" s="23"/>
      <c r="J57" s="23"/>
      <c r="K57" s="23"/>
      <c r="L57" s="23"/>
    </row>
    <row r="58" spans="1:12" s="25" customFormat="1">
      <c r="A58" s="205"/>
      <c r="C58" s="195"/>
      <c r="F58" s="23"/>
      <c r="G58" s="23"/>
      <c r="H58" s="23"/>
      <c r="I58" s="23"/>
      <c r="J58" s="23"/>
      <c r="K58" s="23"/>
      <c r="L58" s="23"/>
    </row>
    <row r="59" spans="1:12" s="25" customFormat="1">
      <c r="A59" s="205"/>
      <c r="C59" s="195"/>
      <c r="F59" s="23"/>
      <c r="G59" s="23"/>
      <c r="H59" s="23"/>
      <c r="I59" s="23"/>
      <c r="J59" s="23"/>
      <c r="K59" s="23"/>
      <c r="L59" s="23"/>
    </row>
    <row r="60" spans="1:12" s="25" customFormat="1">
      <c r="A60" s="205"/>
      <c r="C60" s="195"/>
      <c r="F60" s="23"/>
      <c r="G60" s="23"/>
      <c r="H60" s="23"/>
      <c r="I60" s="23"/>
      <c r="J60" s="23"/>
      <c r="K60" s="23"/>
      <c r="L60" s="23"/>
    </row>
    <row r="61" spans="1:12" s="25" customFormat="1">
      <c r="A61" s="205"/>
      <c r="C61" s="195"/>
      <c r="F61" s="23"/>
      <c r="G61" s="23"/>
      <c r="H61" s="23"/>
      <c r="I61" s="23"/>
      <c r="J61" s="23"/>
      <c r="K61" s="23"/>
      <c r="L61" s="23"/>
    </row>
    <row r="62" spans="1:12" s="25" customFormat="1">
      <c r="A62" s="205"/>
      <c r="C62" s="195"/>
      <c r="F62" s="23"/>
      <c r="G62" s="23"/>
      <c r="H62" s="23"/>
      <c r="I62" s="23"/>
      <c r="J62" s="23"/>
      <c r="K62" s="23"/>
      <c r="L62" s="23"/>
    </row>
    <row r="63" spans="1:12" s="25" customFormat="1">
      <c r="A63" s="205"/>
      <c r="C63" s="195"/>
      <c r="F63" s="23"/>
      <c r="G63" s="23"/>
      <c r="H63" s="23"/>
      <c r="I63" s="23"/>
      <c r="J63" s="23"/>
      <c r="K63" s="23"/>
      <c r="L63" s="23"/>
    </row>
    <row r="64" spans="1:12" s="25" customFormat="1">
      <c r="A64" s="205"/>
      <c r="C64" s="195"/>
      <c r="F64" s="23"/>
      <c r="G64" s="23"/>
      <c r="H64" s="23"/>
      <c r="I64" s="23"/>
      <c r="J64" s="23"/>
      <c r="K64" s="23"/>
      <c r="L64" s="23"/>
    </row>
    <row r="65" spans="1:12" s="25" customFormat="1">
      <c r="A65" s="205"/>
      <c r="C65" s="195"/>
      <c r="F65" s="23"/>
      <c r="G65" s="23"/>
      <c r="H65" s="23"/>
      <c r="I65" s="23"/>
      <c r="J65" s="23"/>
      <c r="K65" s="23"/>
      <c r="L65" s="23"/>
    </row>
    <row r="66" spans="1:12" s="25" customFormat="1">
      <c r="A66" s="205"/>
      <c r="C66" s="195"/>
      <c r="F66" s="23"/>
      <c r="G66" s="23"/>
      <c r="H66" s="23"/>
      <c r="I66" s="23"/>
      <c r="J66" s="23"/>
      <c r="K66" s="23"/>
      <c r="L66" s="23"/>
    </row>
    <row r="67" spans="1:12" s="25" customFormat="1">
      <c r="A67" s="205"/>
      <c r="C67" s="195"/>
      <c r="F67" s="23"/>
      <c r="G67" s="23"/>
      <c r="H67" s="23"/>
      <c r="I67" s="23"/>
      <c r="J67" s="23"/>
      <c r="K67" s="23"/>
      <c r="L67" s="23"/>
    </row>
    <row r="68" spans="1:12" s="25" customFormat="1">
      <c r="A68" s="205"/>
      <c r="C68" s="195"/>
      <c r="F68" s="23"/>
      <c r="G68" s="23"/>
      <c r="H68" s="23"/>
      <c r="I68" s="23"/>
      <c r="J68" s="23"/>
      <c r="K68" s="23"/>
      <c r="L68" s="23"/>
    </row>
    <row r="69" spans="1:12" s="25" customFormat="1">
      <c r="A69" s="205"/>
      <c r="C69" s="195"/>
      <c r="F69" s="23"/>
      <c r="G69" s="23"/>
      <c r="H69" s="23"/>
      <c r="I69" s="23"/>
      <c r="J69" s="23"/>
      <c r="K69" s="23"/>
      <c r="L69" s="23"/>
    </row>
    <row r="70" spans="1:12" s="25" customFormat="1">
      <c r="A70" s="205"/>
      <c r="C70" s="195"/>
      <c r="F70" s="23"/>
      <c r="G70" s="23"/>
      <c r="H70" s="23"/>
      <c r="I70" s="23"/>
      <c r="J70" s="23"/>
      <c r="K70" s="23"/>
      <c r="L70" s="23"/>
    </row>
    <row r="71" spans="1:12" s="25" customFormat="1">
      <c r="A71" s="205"/>
      <c r="C71" s="195"/>
      <c r="F71" s="23"/>
      <c r="G71" s="23"/>
      <c r="H71" s="23"/>
      <c r="I71" s="23"/>
      <c r="J71" s="23"/>
      <c r="K71" s="23"/>
      <c r="L71" s="23"/>
    </row>
    <row r="72" spans="1:12" s="25" customFormat="1">
      <c r="A72" s="205"/>
      <c r="C72" s="195"/>
      <c r="F72" s="23"/>
      <c r="G72" s="23"/>
      <c r="H72" s="23"/>
      <c r="I72" s="23"/>
      <c r="J72" s="23"/>
      <c r="K72" s="23"/>
      <c r="L72" s="23"/>
    </row>
    <row r="73" spans="1:12" s="25" customFormat="1">
      <c r="A73" s="205"/>
      <c r="C73" s="195"/>
      <c r="F73" s="23"/>
      <c r="G73" s="23"/>
      <c r="H73" s="23"/>
      <c r="I73" s="23"/>
      <c r="J73" s="23"/>
      <c r="K73" s="23"/>
      <c r="L73" s="23"/>
    </row>
    <row r="74" spans="1:12" s="25" customFormat="1">
      <c r="A74" s="205"/>
      <c r="C74" s="195"/>
      <c r="F74" s="23"/>
      <c r="G74" s="23"/>
      <c r="H74" s="23"/>
      <c r="I74" s="23"/>
      <c r="J74" s="23"/>
      <c r="K74" s="23"/>
      <c r="L74" s="23"/>
    </row>
    <row r="75" spans="1:12" s="25" customFormat="1">
      <c r="A75" s="205"/>
      <c r="C75" s="195"/>
      <c r="F75" s="23"/>
      <c r="G75" s="23"/>
      <c r="H75" s="23"/>
      <c r="I75" s="23"/>
      <c r="J75" s="23"/>
      <c r="K75" s="23"/>
      <c r="L75" s="23"/>
    </row>
    <row r="76" spans="1:12" s="25" customFormat="1">
      <c r="A76" s="205"/>
      <c r="C76" s="195"/>
      <c r="F76" s="23"/>
      <c r="G76" s="23"/>
      <c r="H76" s="23"/>
      <c r="I76" s="23"/>
      <c r="J76" s="23"/>
      <c r="K76" s="23"/>
      <c r="L76" s="23"/>
    </row>
    <row r="77" spans="1:12" s="25" customFormat="1">
      <c r="A77" s="205"/>
      <c r="C77" s="195"/>
      <c r="F77" s="23"/>
      <c r="G77" s="23"/>
      <c r="H77" s="23"/>
      <c r="I77" s="23"/>
      <c r="J77" s="23"/>
      <c r="K77" s="23"/>
      <c r="L77" s="23"/>
    </row>
    <row r="78" spans="1:12" s="25" customFormat="1">
      <c r="A78" s="205"/>
      <c r="C78" s="195"/>
      <c r="F78" s="23"/>
      <c r="G78" s="23"/>
      <c r="H78" s="23"/>
      <c r="I78" s="23"/>
      <c r="J78" s="23"/>
      <c r="K78" s="23"/>
      <c r="L78" s="23"/>
    </row>
    <row r="79" spans="1:12" s="25" customFormat="1">
      <c r="A79" s="205"/>
      <c r="C79" s="195"/>
      <c r="F79" s="23"/>
      <c r="G79" s="23"/>
      <c r="H79" s="23"/>
      <c r="I79" s="23"/>
      <c r="J79" s="23"/>
      <c r="K79" s="23"/>
      <c r="L79" s="23"/>
    </row>
    <row r="80" spans="1:12" s="25" customFormat="1">
      <c r="A80" s="205"/>
      <c r="C80" s="195"/>
      <c r="F80" s="23"/>
      <c r="G80" s="23"/>
      <c r="H80" s="23"/>
      <c r="I80" s="23"/>
      <c r="J80" s="23"/>
      <c r="K80" s="23"/>
      <c r="L80" s="23"/>
    </row>
    <row r="81" spans="1:12" s="25" customFormat="1">
      <c r="A81" s="205"/>
      <c r="C81" s="195"/>
      <c r="F81" s="23"/>
      <c r="G81" s="23"/>
      <c r="H81" s="23"/>
      <c r="I81" s="23"/>
      <c r="J81" s="23"/>
      <c r="K81" s="23"/>
      <c r="L81" s="23"/>
    </row>
    <row r="82" spans="1:12" s="25" customFormat="1">
      <c r="A82" s="205"/>
      <c r="C82" s="195"/>
      <c r="F82" s="23"/>
      <c r="G82" s="23"/>
      <c r="H82" s="23"/>
      <c r="I82" s="23"/>
      <c r="J82" s="23"/>
      <c r="K82" s="23"/>
      <c r="L82" s="23"/>
    </row>
    <row r="83" spans="1:12" s="25" customFormat="1">
      <c r="A83" s="205"/>
      <c r="C83" s="195"/>
      <c r="F83" s="23"/>
      <c r="G83" s="23"/>
      <c r="H83" s="23"/>
      <c r="I83" s="23"/>
      <c r="J83" s="23"/>
      <c r="K83" s="23"/>
      <c r="L83" s="23"/>
    </row>
    <row r="84" spans="1:12" s="25" customFormat="1">
      <c r="A84" s="205"/>
      <c r="C84" s="195"/>
      <c r="F84" s="23"/>
      <c r="G84" s="23"/>
      <c r="H84" s="23"/>
      <c r="I84" s="23"/>
      <c r="J84" s="23"/>
      <c r="K84" s="23"/>
      <c r="L84" s="23"/>
    </row>
    <row r="85" spans="1:12" s="25" customFormat="1">
      <c r="A85" s="205"/>
      <c r="C85" s="195"/>
      <c r="F85" s="23"/>
      <c r="G85" s="23"/>
      <c r="H85" s="23"/>
      <c r="I85" s="23"/>
      <c r="J85" s="23"/>
      <c r="K85" s="23"/>
      <c r="L85" s="23"/>
    </row>
    <row r="86" spans="1:12" s="25" customFormat="1">
      <c r="A86" s="205"/>
      <c r="C86" s="195"/>
      <c r="F86" s="23"/>
      <c r="G86" s="23"/>
      <c r="H86" s="23"/>
      <c r="I86" s="23"/>
      <c r="J86" s="23"/>
      <c r="K86" s="23"/>
      <c r="L86" s="23"/>
    </row>
    <row r="87" spans="1:12" s="25" customFormat="1">
      <c r="A87" s="205"/>
      <c r="C87" s="195"/>
      <c r="F87" s="23"/>
      <c r="G87" s="23"/>
      <c r="H87" s="23"/>
      <c r="I87" s="23"/>
      <c r="J87" s="23"/>
      <c r="K87" s="23"/>
      <c r="L87" s="23"/>
    </row>
    <row r="88" spans="1:12" s="25" customFormat="1">
      <c r="A88" s="205"/>
      <c r="C88" s="195"/>
      <c r="F88" s="23"/>
      <c r="G88" s="23"/>
      <c r="H88" s="23"/>
      <c r="I88" s="23"/>
      <c r="J88" s="23"/>
      <c r="K88" s="23"/>
      <c r="L88" s="23"/>
    </row>
    <row r="89" spans="1:12" s="25" customFormat="1">
      <c r="A89" s="205"/>
      <c r="C89" s="195"/>
      <c r="F89" s="23"/>
      <c r="G89" s="23"/>
      <c r="H89" s="23"/>
      <c r="I89" s="23"/>
      <c r="J89" s="23"/>
      <c r="K89" s="23"/>
      <c r="L89" s="23"/>
    </row>
    <row r="90" spans="1:12" s="25" customFormat="1">
      <c r="A90" s="205"/>
      <c r="C90" s="195"/>
      <c r="F90" s="23"/>
      <c r="G90" s="23"/>
      <c r="H90" s="23"/>
      <c r="I90" s="23"/>
      <c r="J90" s="23"/>
      <c r="K90" s="23"/>
      <c r="L90" s="23"/>
    </row>
    <row r="91" spans="1:12" s="25" customFormat="1">
      <c r="A91" s="205"/>
      <c r="C91" s="195"/>
      <c r="F91" s="23"/>
      <c r="G91" s="23"/>
      <c r="H91" s="23"/>
      <c r="I91" s="23"/>
      <c r="J91" s="23"/>
      <c r="K91" s="23"/>
      <c r="L91" s="23"/>
    </row>
    <row r="92" spans="1:12" s="25" customFormat="1">
      <c r="A92" s="205"/>
      <c r="C92" s="195"/>
      <c r="F92" s="23"/>
      <c r="G92" s="23"/>
      <c r="H92" s="23"/>
      <c r="I92" s="23"/>
      <c r="J92" s="23"/>
      <c r="K92" s="23"/>
      <c r="L92" s="23"/>
    </row>
    <row r="93" spans="1:12" s="25" customFormat="1">
      <c r="A93" s="205"/>
      <c r="C93" s="195"/>
      <c r="F93" s="23"/>
      <c r="G93" s="23"/>
      <c r="H93" s="23"/>
      <c r="I93" s="23"/>
      <c r="J93" s="23"/>
      <c r="K93" s="23"/>
      <c r="L93" s="23"/>
    </row>
    <row r="94" spans="1:12" s="25" customFormat="1">
      <c r="A94" s="205"/>
      <c r="C94" s="195"/>
      <c r="F94" s="23"/>
      <c r="G94" s="23"/>
      <c r="H94" s="23"/>
      <c r="I94" s="23"/>
      <c r="J94" s="23"/>
      <c r="K94" s="23"/>
      <c r="L94" s="23"/>
    </row>
    <row r="95" spans="1:12" s="25" customFormat="1">
      <c r="A95" s="205"/>
      <c r="C95" s="195"/>
      <c r="F95" s="23"/>
      <c r="G95" s="23"/>
      <c r="H95" s="23"/>
      <c r="I95" s="23"/>
      <c r="J95" s="23"/>
      <c r="K95" s="23"/>
      <c r="L95" s="23"/>
    </row>
    <row r="96" spans="1:12" s="25" customFormat="1">
      <c r="A96" s="205"/>
      <c r="C96" s="195"/>
      <c r="F96" s="23"/>
      <c r="G96" s="23"/>
      <c r="H96" s="23"/>
      <c r="I96" s="23"/>
      <c r="J96" s="23"/>
      <c r="K96" s="23"/>
      <c r="L96" s="23"/>
    </row>
    <row r="97" spans="1:12" s="25" customFormat="1">
      <c r="A97" s="205"/>
      <c r="C97" s="195"/>
      <c r="F97" s="23"/>
      <c r="G97" s="23"/>
      <c r="H97" s="23"/>
      <c r="I97" s="23"/>
      <c r="J97" s="23"/>
      <c r="K97" s="23"/>
      <c r="L97" s="23"/>
    </row>
    <row r="98" spans="1:12" s="25" customFormat="1">
      <c r="A98" s="205"/>
      <c r="C98" s="195"/>
      <c r="F98" s="23"/>
      <c r="G98" s="23"/>
      <c r="H98" s="23"/>
      <c r="I98" s="23"/>
      <c r="J98" s="23"/>
      <c r="K98" s="23"/>
      <c r="L98" s="23"/>
    </row>
    <row r="99" spans="1:12" s="25" customFormat="1">
      <c r="A99" s="205"/>
      <c r="C99" s="195"/>
      <c r="F99" s="23"/>
      <c r="G99" s="23"/>
      <c r="H99" s="23"/>
      <c r="I99" s="23"/>
      <c r="J99" s="23"/>
      <c r="K99" s="23"/>
      <c r="L99" s="23"/>
    </row>
    <row r="100" spans="1:12" s="25" customFormat="1">
      <c r="A100" s="205"/>
      <c r="C100" s="195"/>
      <c r="F100" s="23"/>
      <c r="G100" s="23"/>
      <c r="H100" s="23"/>
      <c r="I100" s="23"/>
      <c r="J100" s="23"/>
      <c r="K100" s="23"/>
      <c r="L100" s="23"/>
    </row>
    <row r="101" spans="1:12" s="25" customFormat="1">
      <c r="A101" s="205"/>
      <c r="C101" s="195"/>
      <c r="F101" s="23"/>
      <c r="G101" s="23"/>
      <c r="H101" s="23"/>
      <c r="I101" s="23"/>
      <c r="J101" s="23"/>
      <c r="K101" s="23"/>
      <c r="L101" s="23"/>
    </row>
    <row r="102" spans="1:12" s="25" customFormat="1">
      <c r="A102" s="205"/>
      <c r="C102" s="195"/>
      <c r="F102" s="23"/>
      <c r="G102" s="23"/>
      <c r="H102" s="23"/>
      <c r="I102" s="23"/>
      <c r="J102" s="23"/>
      <c r="K102" s="23"/>
      <c r="L102" s="23"/>
    </row>
    <row r="103" spans="1:12" s="25" customFormat="1">
      <c r="A103" s="205"/>
      <c r="C103" s="195"/>
      <c r="F103" s="23"/>
      <c r="G103" s="23"/>
      <c r="H103" s="23"/>
      <c r="I103" s="23"/>
      <c r="J103" s="23"/>
      <c r="K103" s="23"/>
      <c r="L103" s="23"/>
    </row>
    <row r="104" spans="1:12" s="25" customFormat="1">
      <c r="A104" s="205"/>
      <c r="C104" s="195"/>
      <c r="F104" s="23"/>
      <c r="G104" s="23"/>
      <c r="H104" s="23"/>
      <c r="I104" s="23"/>
      <c r="J104" s="23"/>
      <c r="K104" s="23"/>
      <c r="L104" s="23"/>
    </row>
    <row r="105" spans="1:12" s="25" customFormat="1">
      <c r="A105" s="205"/>
      <c r="C105" s="195"/>
      <c r="F105" s="23"/>
      <c r="G105" s="23"/>
      <c r="H105" s="23"/>
      <c r="I105" s="23"/>
      <c r="J105" s="23"/>
      <c r="K105" s="23"/>
      <c r="L105" s="23"/>
    </row>
    <row r="106" spans="1:12" s="25" customFormat="1">
      <c r="A106" s="205"/>
      <c r="C106" s="195"/>
      <c r="F106" s="23"/>
      <c r="G106" s="23"/>
      <c r="H106" s="23"/>
      <c r="I106" s="23"/>
      <c r="J106" s="23"/>
      <c r="K106" s="23"/>
      <c r="L106" s="23"/>
    </row>
    <row r="107" spans="1:12" s="25" customFormat="1">
      <c r="A107" s="205"/>
      <c r="C107" s="195"/>
      <c r="F107" s="23"/>
      <c r="G107" s="23"/>
      <c r="H107" s="23"/>
      <c r="I107" s="23"/>
      <c r="J107" s="23"/>
      <c r="K107" s="23"/>
      <c r="L107" s="23"/>
    </row>
    <row r="108" spans="1:12" s="25" customFormat="1">
      <c r="A108" s="205"/>
      <c r="C108" s="195"/>
      <c r="F108" s="23"/>
      <c r="G108" s="23"/>
      <c r="H108" s="23"/>
      <c r="I108" s="23"/>
      <c r="J108" s="23"/>
      <c r="K108" s="23"/>
      <c r="L108" s="23"/>
    </row>
    <row r="109" spans="1:12" s="25" customFormat="1">
      <c r="A109" s="205"/>
      <c r="C109" s="195"/>
      <c r="F109" s="23"/>
      <c r="G109" s="23"/>
      <c r="H109" s="23"/>
      <c r="I109" s="23"/>
      <c r="J109" s="23"/>
      <c r="K109" s="23"/>
      <c r="L109" s="23"/>
    </row>
    <row r="110" spans="1:12" s="25" customFormat="1">
      <c r="A110" s="205"/>
      <c r="C110" s="195"/>
      <c r="F110" s="23"/>
      <c r="G110" s="23"/>
      <c r="H110" s="23"/>
      <c r="I110" s="23"/>
      <c r="J110" s="23"/>
      <c r="K110" s="23"/>
      <c r="L110" s="23"/>
    </row>
    <row r="111" spans="1:12" s="25" customFormat="1">
      <c r="A111" s="205"/>
      <c r="C111" s="195"/>
      <c r="F111" s="23"/>
      <c r="G111" s="23"/>
      <c r="H111" s="23"/>
      <c r="I111" s="23"/>
      <c r="J111" s="23"/>
      <c r="K111" s="23"/>
      <c r="L111" s="23"/>
    </row>
    <row r="112" spans="1:12" s="25" customFormat="1">
      <c r="A112" s="205"/>
      <c r="C112" s="195"/>
      <c r="F112" s="23"/>
      <c r="G112" s="23"/>
      <c r="H112" s="23"/>
      <c r="I112" s="23"/>
      <c r="J112" s="23"/>
      <c r="K112" s="23"/>
      <c r="L112" s="23"/>
    </row>
    <row r="113" spans="1:12" s="25" customFormat="1">
      <c r="A113" s="205"/>
      <c r="C113" s="195"/>
      <c r="F113" s="23"/>
      <c r="G113" s="23"/>
      <c r="H113" s="23"/>
      <c r="I113" s="23"/>
      <c r="J113" s="23"/>
      <c r="K113" s="23"/>
      <c r="L113" s="23"/>
    </row>
    <row r="114" spans="1:12" s="25" customFormat="1">
      <c r="A114" s="205"/>
      <c r="C114" s="195"/>
      <c r="F114" s="23"/>
      <c r="G114" s="23"/>
      <c r="H114" s="23"/>
      <c r="I114" s="23"/>
      <c r="J114" s="23"/>
      <c r="K114" s="23"/>
      <c r="L114" s="23"/>
    </row>
    <row r="115" spans="1:12" s="25" customFormat="1">
      <c r="A115" s="205"/>
      <c r="C115" s="195"/>
      <c r="F115" s="23"/>
      <c r="G115" s="23"/>
      <c r="H115" s="23"/>
      <c r="I115" s="23"/>
      <c r="J115" s="23"/>
      <c r="K115" s="23"/>
      <c r="L115" s="23"/>
    </row>
    <row r="116" spans="1:12" s="25" customFormat="1">
      <c r="A116" s="205"/>
      <c r="C116" s="195"/>
      <c r="F116" s="23"/>
      <c r="G116" s="23"/>
      <c r="H116" s="23"/>
      <c r="I116" s="23"/>
      <c r="J116" s="23"/>
      <c r="K116" s="23"/>
      <c r="L116" s="23"/>
    </row>
    <row r="117" spans="1:12" s="25" customFormat="1">
      <c r="A117" s="205"/>
      <c r="C117" s="195"/>
      <c r="F117" s="23"/>
      <c r="G117" s="23"/>
      <c r="H117" s="23"/>
      <c r="I117" s="23"/>
      <c r="J117" s="23"/>
      <c r="K117" s="23"/>
      <c r="L117" s="23"/>
    </row>
    <row r="118" spans="1:12" s="25" customFormat="1">
      <c r="A118" s="205"/>
      <c r="C118" s="195"/>
      <c r="F118" s="23"/>
      <c r="G118" s="23"/>
      <c r="H118" s="23"/>
      <c r="I118" s="23"/>
      <c r="J118" s="23"/>
      <c r="K118" s="23"/>
      <c r="L118" s="23"/>
    </row>
    <row r="119" spans="1:12" s="25" customFormat="1">
      <c r="A119" s="205"/>
      <c r="C119" s="195"/>
      <c r="F119" s="23"/>
      <c r="G119" s="23"/>
      <c r="H119" s="23"/>
      <c r="I119" s="23"/>
      <c r="J119" s="23"/>
      <c r="K119" s="23"/>
      <c r="L119" s="23"/>
    </row>
    <row r="120" spans="1:12" s="25" customFormat="1">
      <c r="A120" s="205"/>
      <c r="C120" s="195"/>
      <c r="F120" s="23"/>
      <c r="G120" s="23"/>
      <c r="H120" s="23"/>
      <c r="I120" s="23"/>
      <c r="J120" s="23"/>
      <c r="K120" s="23"/>
      <c r="L120" s="23"/>
    </row>
    <row r="121" spans="1:12" s="25" customFormat="1">
      <c r="A121" s="205"/>
      <c r="C121" s="195"/>
      <c r="F121" s="23"/>
      <c r="G121" s="23"/>
      <c r="H121" s="23"/>
      <c r="I121" s="23"/>
      <c r="J121" s="23"/>
      <c r="K121" s="23"/>
      <c r="L121" s="23"/>
    </row>
    <row r="122" spans="1:12" s="25" customFormat="1">
      <c r="A122" s="205"/>
      <c r="C122" s="195"/>
      <c r="F122" s="23"/>
      <c r="G122" s="23"/>
      <c r="H122" s="23"/>
      <c r="I122" s="23"/>
      <c r="J122" s="23"/>
      <c r="K122" s="23"/>
      <c r="L122" s="23"/>
    </row>
    <row r="123" spans="1:12" s="25" customFormat="1">
      <c r="A123" s="205"/>
      <c r="C123" s="195"/>
      <c r="F123" s="23"/>
      <c r="G123" s="23"/>
      <c r="H123" s="23"/>
      <c r="I123" s="23"/>
      <c r="J123" s="23"/>
      <c r="K123" s="23"/>
      <c r="L123" s="23"/>
    </row>
    <row r="124" spans="1:12" s="25" customFormat="1">
      <c r="A124" s="205"/>
      <c r="C124" s="195"/>
      <c r="F124" s="23"/>
      <c r="G124" s="23"/>
      <c r="H124" s="23"/>
      <c r="I124" s="23"/>
      <c r="J124" s="23"/>
      <c r="K124" s="23"/>
      <c r="L124" s="23"/>
    </row>
    <row r="125" spans="1:12" s="25" customFormat="1">
      <c r="A125" s="205"/>
      <c r="C125" s="195"/>
      <c r="F125" s="23"/>
      <c r="G125" s="23"/>
      <c r="H125" s="23"/>
      <c r="I125" s="23"/>
      <c r="J125" s="23"/>
      <c r="K125" s="23"/>
      <c r="L125" s="23"/>
    </row>
    <row r="126" spans="1:12" s="25" customFormat="1">
      <c r="A126" s="205"/>
      <c r="C126" s="195"/>
      <c r="F126" s="23"/>
      <c r="G126" s="23"/>
      <c r="H126" s="23"/>
      <c r="I126" s="23"/>
      <c r="J126" s="23"/>
      <c r="K126" s="23"/>
      <c r="L126" s="23"/>
    </row>
    <row r="127" spans="1:12" s="25" customFormat="1">
      <c r="A127" s="205"/>
      <c r="C127" s="195"/>
      <c r="F127" s="23"/>
      <c r="G127" s="23"/>
      <c r="H127" s="23"/>
      <c r="I127" s="23"/>
      <c r="J127" s="23"/>
      <c r="K127" s="23"/>
      <c r="L127" s="23"/>
    </row>
    <row r="128" spans="1:12" s="25" customFormat="1">
      <c r="A128" s="205"/>
      <c r="C128" s="195"/>
      <c r="F128" s="23"/>
      <c r="G128" s="23"/>
      <c r="H128" s="23"/>
      <c r="I128" s="23"/>
      <c r="J128" s="23"/>
      <c r="K128" s="23"/>
      <c r="L128" s="23"/>
    </row>
    <row r="129" spans="1:12" s="25" customFormat="1">
      <c r="A129" s="205"/>
      <c r="C129" s="195"/>
      <c r="F129" s="23"/>
      <c r="G129" s="23"/>
      <c r="H129" s="23"/>
      <c r="I129" s="23"/>
      <c r="J129" s="23"/>
      <c r="K129" s="23"/>
      <c r="L129" s="23"/>
    </row>
    <row r="130" spans="1:12" s="25" customFormat="1">
      <c r="A130" s="205"/>
      <c r="C130" s="195"/>
      <c r="F130" s="23"/>
      <c r="G130" s="23"/>
      <c r="H130" s="23"/>
      <c r="I130" s="23"/>
      <c r="J130" s="23"/>
      <c r="K130" s="23"/>
      <c r="L130" s="23"/>
    </row>
    <row r="131" spans="1:12" s="25" customFormat="1">
      <c r="A131" s="205"/>
      <c r="C131" s="195"/>
      <c r="F131" s="23"/>
      <c r="G131" s="23"/>
      <c r="H131" s="23"/>
      <c r="I131" s="23"/>
      <c r="J131" s="23"/>
      <c r="K131" s="23"/>
      <c r="L131" s="23"/>
    </row>
    <row r="132" spans="1:12" s="25" customFormat="1">
      <c r="A132" s="205"/>
      <c r="C132" s="195"/>
      <c r="F132" s="23"/>
      <c r="G132" s="23"/>
      <c r="H132" s="23"/>
      <c r="I132" s="23"/>
      <c r="J132" s="23"/>
      <c r="K132" s="23"/>
      <c r="L132" s="23"/>
    </row>
    <row r="133" spans="1:12" s="25" customFormat="1">
      <c r="A133" s="205"/>
      <c r="C133" s="195"/>
      <c r="F133" s="23"/>
      <c r="G133" s="23"/>
      <c r="H133" s="23"/>
      <c r="I133" s="23"/>
      <c r="J133" s="23"/>
      <c r="K133" s="23"/>
      <c r="L133" s="23"/>
    </row>
    <row r="134" spans="1:12" s="25" customFormat="1">
      <c r="A134" s="205"/>
      <c r="C134" s="195"/>
      <c r="F134" s="23"/>
      <c r="G134" s="23"/>
      <c r="H134" s="23"/>
      <c r="I134" s="23"/>
      <c r="J134" s="23"/>
      <c r="K134" s="23"/>
      <c r="L134" s="23"/>
    </row>
    <row r="135" spans="1:12" s="25" customFormat="1">
      <c r="A135" s="205"/>
      <c r="C135" s="195"/>
      <c r="F135" s="23"/>
      <c r="G135" s="23"/>
      <c r="H135" s="23"/>
      <c r="I135" s="23"/>
      <c r="J135" s="23"/>
      <c r="K135" s="23"/>
      <c r="L135" s="23"/>
    </row>
    <row r="136" spans="1:12" s="25" customFormat="1">
      <c r="A136" s="205"/>
      <c r="C136" s="195"/>
      <c r="F136" s="23"/>
      <c r="G136" s="23"/>
      <c r="H136" s="23"/>
      <c r="I136" s="23"/>
      <c r="J136" s="23"/>
      <c r="K136" s="23"/>
      <c r="L136" s="23"/>
    </row>
    <row r="137" spans="1:12" s="25" customFormat="1">
      <c r="A137" s="205"/>
      <c r="C137" s="195"/>
      <c r="F137" s="23"/>
      <c r="G137" s="23"/>
      <c r="H137" s="23"/>
      <c r="I137" s="23"/>
      <c r="J137" s="23"/>
      <c r="K137" s="23"/>
      <c r="L137" s="23"/>
    </row>
    <row r="138" spans="1:12" s="25" customFormat="1">
      <c r="A138" s="205"/>
      <c r="C138" s="195"/>
      <c r="F138" s="23"/>
      <c r="G138" s="23"/>
      <c r="H138" s="23"/>
      <c r="I138" s="23"/>
      <c r="J138" s="23"/>
      <c r="K138" s="23"/>
      <c r="L138" s="23"/>
    </row>
    <row r="139" spans="1:12" s="25" customFormat="1">
      <c r="A139" s="205"/>
      <c r="C139" s="195"/>
      <c r="F139" s="23"/>
      <c r="G139" s="23"/>
      <c r="H139" s="23"/>
      <c r="I139" s="23"/>
      <c r="J139" s="23"/>
      <c r="K139" s="23"/>
      <c r="L139" s="23"/>
    </row>
    <row r="140" spans="1:12" s="25" customFormat="1">
      <c r="A140" s="205"/>
      <c r="C140" s="195"/>
      <c r="F140" s="23"/>
      <c r="G140" s="23"/>
      <c r="H140" s="23"/>
      <c r="I140" s="23"/>
      <c r="J140" s="23"/>
      <c r="K140" s="23"/>
      <c r="L140" s="23"/>
    </row>
    <row r="141" spans="1:12" s="25" customFormat="1">
      <c r="A141" s="205"/>
      <c r="C141" s="195"/>
      <c r="F141" s="23"/>
      <c r="G141" s="23"/>
      <c r="H141" s="23"/>
      <c r="I141" s="23"/>
      <c r="J141" s="23"/>
      <c r="K141" s="23"/>
      <c r="L141" s="23"/>
    </row>
    <row r="142" spans="1:12" s="25" customFormat="1">
      <c r="A142" s="205"/>
      <c r="C142" s="195"/>
      <c r="F142" s="23"/>
      <c r="G142" s="23"/>
      <c r="H142" s="23"/>
      <c r="I142" s="23"/>
      <c r="J142" s="23"/>
      <c r="K142" s="23"/>
      <c r="L142" s="23"/>
    </row>
    <row r="143" spans="1:12" s="25" customFormat="1">
      <c r="A143" s="205"/>
      <c r="C143" s="195"/>
      <c r="F143" s="23"/>
      <c r="G143" s="23"/>
      <c r="H143" s="23"/>
      <c r="I143" s="23"/>
      <c r="J143" s="23"/>
      <c r="K143" s="23"/>
      <c r="L143" s="23"/>
    </row>
    <row r="144" spans="1:12" s="25" customFormat="1">
      <c r="A144" s="205"/>
      <c r="C144" s="195"/>
      <c r="F144" s="23"/>
      <c r="G144" s="23"/>
      <c r="H144" s="23"/>
      <c r="I144" s="23"/>
      <c r="J144" s="23"/>
      <c r="K144" s="23"/>
      <c r="L144" s="23"/>
    </row>
    <row r="145" spans="1:12" s="25" customFormat="1">
      <c r="A145" s="205"/>
      <c r="C145" s="195"/>
      <c r="F145" s="23"/>
      <c r="G145" s="23"/>
      <c r="H145" s="23"/>
      <c r="I145" s="23"/>
      <c r="J145" s="23"/>
      <c r="K145" s="23"/>
      <c r="L145" s="23"/>
    </row>
    <row r="146" spans="1:12" s="25" customFormat="1">
      <c r="A146" s="205"/>
      <c r="C146" s="195"/>
      <c r="F146" s="23"/>
      <c r="G146" s="23"/>
      <c r="H146" s="23"/>
      <c r="I146" s="23"/>
      <c r="J146" s="23"/>
      <c r="K146" s="23"/>
      <c r="L146" s="23"/>
    </row>
    <row r="147" spans="1:12" s="25" customFormat="1">
      <c r="A147" s="205"/>
      <c r="C147" s="195"/>
      <c r="F147" s="23"/>
      <c r="G147" s="23"/>
      <c r="H147" s="23"/>
      <c r="I147" s="23"/>
      <c r="J147" s="23"/>
      <c r="K147" s="23"/>
      <c r="L147" s="23"/>
    </row>
    <row r="148" spans="1:12" s="25" customFormat="1">
      <c r="A148" s="205"/>
      <c r="C148" s="195"/>
      <c r="F148" s="23"/>
      <c r="G148" s="23"/>
      <c r="H148" s="23"/>
      <c r="I148" s="23"/>
      <c r="J148" s="23"/>
      <c r="K148" s="23"/>
      <c r="L148" s="23"/>
    </row>
    <row r="149" spans="1:12" s="25" customFormat="1">
      <c r="A149" s="205"/>
      <c r="C149" s="195"/>
      <c r="F149" s="23"/>
      <c r="G149" s="23"/>
      <c r="H149" s="23"/>
      <c r="I149" s="23"/>
      <c r="J149" s="23"/>
      <c r="K149" s="23"/>
      <c r="L149" s="23"/>
    </row>
    <row r="150" spans="1:12" s="25" customFormat="1">
      <c r="A150" s="205"/>
      <c r="C150" s="195"/>
      <c r="F150" s="23"/>
      <c r="G150" s="23"/>
      <c r="H150" s="23"/>
      <c r="I150" s="23"/>
      <c r="J150" s="23"/>
      <c r="K150" s="23"/>
      <c r="L150" s="23"/>
    </row>
    <row r="151" spans="1:12" s="25" customFormat="1">
      <c r="A151" s="205"/>
      <c r="C151" s="195"/>
      <c r="F151" s="23"/>
      <c r="G151" s="23"/>
      <c r="H151" s="23"/>
      <c r="I151" s="23"/>
      <c r="J151" s="23"/>
      <c r="K151" s="23"/>
      <c r="L151" s="23"/>
    </row>
    <row r="152" spans="1:12" s="25" customFormat="1">
      <c r="A152" s="205"/>
      <c r="C152" s="195"/>
      <c r="F152" s="23"/>
      <c r="G152" s="23"/>
      <c r="H152" s="23"/>
      <c r="I152" s="23"/>
      <c r="J152" s="23"/>
      <c r="K152" s="23"/>
      <c r="L152" s="23"/>
    </row>
    <row r="153" spans="1:12" s="25" customFormat="1">
      <c r="A153" s="205"/>
      <c r="C153" s="195"/>
      <c r="F153" s="23"/>
      <c r="G153" s="23"/>
      <c r="H153" s="23"/>
      <c r="I153" s="23"/>
      <c r="J153" s="23"/>
      <c r="K153" s="23"/>
      <c r="L153" s="23"/>
    </row>
    <row r="154" spans="1:12" s="25" customFormat="1">
      <c r="A154" s="205"/>
      <c r="C154" s="195"/>
      <c r="F154" s="23"/>
      <c r="G154" s="23"/>
      <c r="H154" s="23"/>
      <c r="I154" s="23"/>
      <c r="J154" s="23"/>
      <c r="K154" s="23"/>
      <c r="L154" s="23"/>
    </row>
    <row r="155" spans="1:12" s="25" customFormat="1">
      <c r="A155" s="205"/>
      <c r="C155" s="195"/>
      <c r="F155" s="23"/>
      <c r="G155" s="23"/>
      <c r="H155" s="23"/>
      <c r="I155" s="23"/>
      <c r="J155" s="23"/>
      <c r="K155" s="23"/>
      <c r="L155" s="23"/>
    </row>
    <row r="156" spans="1:12" s="25" customFormat="1">
      <c r="A156" s="205"/>
      <c r="C156" s="195"/>
      <c r="F156" s="23"/>
      <c r="G156" s="23"/>
      <c r="H156" s="23"/>
      <c r="I156" s="23"/>
      <c r="J156" s="23"/>
      <c r="K156" s="23"/>
      <c r="L156" s="23"/>
    </row>
    <row r="157" spans="1:12" s="25" customFormat="1">
      <c r="A157" s="205"/>
      <c r="C157" s="195"/>
      <c r="F157" s="23"/>
      <c r="G157" s="23"/>
      <c r="H157" s="23"/>
      <c r="I157" s="23"/>
      <c r="J157" s="23"/>
      <c r="K157" s="23"/>
      <c r="L157" s="23"/>
    </row>
    <row r="158" spans="1:12" s="25" customFormat="1">
      <c r="A158" s="205"/>
      <c r="C158" s="195"/>
      <c r="F158" s="23"/>
      <c r="G158" s="23"/>
      <c r="H158" s="23"/>
      <c r="I158" s="23"/>
      <c r="J158" s="23"/>
      <c r="K158" s="23"/>
      <c r="L158" s="23"/>
    </row>
    <row r="159" spans="1:12" s="25" customFormat="1">
      <c r="A159" s="205"/>
      <c r="C159" s="195"/>
      <c r="F159" s="23"/>
      <c r="G159" s="23"/>
      <c r="H159" s="23"/>
      <c r="I159" s="23"/>
      <c r="J159" s="23"/>
      <c r="K159" s="23"/>
      <c r="L159" s="23"/>
    </row>
    <row r="160" spans="1:12" s="25" customFormat="1">
      <c r="A160" s="205"/>
      <c r="C160" s="195"/>
      <c r="F160" s="23"/>
      <c r="G160" s="23"/>
      <c r="H160" s="23"/>
      <c r="I160" s="23"/>
      <c r="J160" s="23"/>
      <c r="K160" s="23"/>
      <c r="L160" s="23"/>
    </row>
    <row r="161" spans="1:12" s="25" customFormat="1">
      <c r="A161" s="205"/>
      <c r="C161" s="195"/>
      <c r="F161" s="23"/>
      <c r="G161" s="23"/>
      <c r="H161" s="23"/>
      <c r="I161" s="23"/>
      <c r="J161" s="23"/>
      <c r="K161" s="23"/>
      <c r="L161" s="23"/>
    </row>
    <row r="162" spans="1:12" s="25" customFormat="1">
      <c r="A162" s="205"/>
      <c r="C162" s="195"/>
      <c r="F162" s="23"/>
      <c r="G162" s="23"/>
      <c r="H162" s="23"/>
      <c r="I162" s="23"/>
      <c r="J162" s="23"/>
      <c r="K162" s="23"/>
      <c r="L162" s="23"/>
    </row>
    <row r="163" spans="1:12" s="25" customFormat="1">
      <c r="A163" s="205"/>
      <c r="C163" s="195"/>
      <c r="F163" s="23"/>
      <c r="G163" s="23"/>
      <c r="H163" s="23"/>
      <c r="I163" s="23"/>
      <c r="J163" s="23"/>
      <c r="K163" s="23"/>
      <c r="L163" s="23"/>
    </row>
    <row r="164" spans="1:12" s="25" customFormat="1">
      <c r="A164" s="205"/>
      <c r="C164" s="195"/>
      <c r="F164" s="23"/>
      <c r="G164" s="23"/>
      <c r="H164" s="23"/>
      <c r="I164" s="23"/>
      <c r="J164" s="23"/>
      <c r="K164" s="23"/>
      <c r="L164" s="23"/>
    </row>
    <row r="165" spans="1:12" s="25" customFormat="1">
      <c r="A165" s="205"/>
      <c r="C165" s="195"/>
      <c r="F165" s="23"/>
      <c r="G165" s="23"/>
      <c r="H165" s="23"/>
      <c r="I165" s="23"/>
      <c r="J165" s="23"/>
      <c r="K165" s="23"/>
      <c r="L165" s="23"/>
    </row>
    <row r="166" spans="1:12" s="25" customFormat="1">
      <c r="A166" s="205"/>
      <c r="C166" s="195"/>
      <c r="F166" s="23"/>
      <c r="G166" s="23"/>
      <c r="H166" s="23"/>
      <c r="I166" s="23"/>
      <c r="J166" s="23"/>
      <c r="K166" s="23"/>
      <c r="L166" s="23"/>
    </row>
    <row r="167" spans="1:12" s="25" customFormat="1">
      <c r="A167" s="205"/>
      <c r="C167" s="195"/>
      <c r="F167" s="23"/>
      <c r="G167" s="23"/>
      <c r="H167" s="23"/>
      <c r="I167" s="23"/>
      <c r="J167" s="23"/>
      <c r="K167" s="23"/>
      <c r="L167" s="23"/>
    </row>
    <row r="168" spans="1:12" s="25" customFormat="1">
      <c r="A168" s="205"/>
      <c r="C168" s="195"/>
      <c r="F168" s="23"/>
      <c r="G168" s="23"/>
      <c r="H168" s="23"/>
      <c r="I168" s="23"/>
      <c r="J168" s="23"/>
      <c r="K168" s="23"/>
      <c r="L168" s="23"/>
    </row>
    <row r="169" spans="1:12" s="25" customFormat="1">
      <c r="A169" s="205"/>
      <c r="C169" s="195"/>
      <c r="F169" s="23"/>
      <c r="G169" s="23"/>
      <c r="H169" s="23"/>
      <c r="I169" s="23"/>
      <c r="J169" s="23"/>
      <c r="K169" s="23"/>
      <c r="L169" s="23"/>
    </row>
    <row r="170" spans="1:12" s="25" customFormat="1">
      <c r="A170" s="205"/>
      <c r="C170" s="195"/>
      <c r="F170" s="23"/>
      <c r="G170" s="23"/>
      <c r="H170" s="23"/>
      <c r="I170" s="23"/>
      <c r="J170" s="23"/>
      <c r="K170" s="23"/>
      <c r="L170" s="23"/>
    </row>
    <row r="171" spans="1:12" s="25" customFormat="1">
      <c r="A171" s="205"/>
      <c r="C171" s="195"/>
      <c r="F171" s="23"/>
      <c r="G171" s="23"/>
      <c r="H171" s="23"/>
      <c r="I171" s="23"/>
      <c r="J171" s="23"/>
      <c r="K171" s="23"/>
      <c r="L171" s="23"/>
    </row>
    <row r="172" spans="1:12" s="25" customFormat="1">
      <c r="A172" s="205"/>
      <c r="C172" s="195"/>
      <c r="F172" s="23"/>
      <c r="G172" s="23"/>
      <c r="H172" s="23"/>
      <c r="I172" s="23"/>
      <c r="J172" s="23"/>
      <c r="K172" s="23"/>
      <c r="L172" s="23"/>
    </row>
    <row r="173" spans="1:12" s="25" customFormat="1">
      <c r="A173" s="205"/>
      <c r="C173" s="195"/>
      <c r="F173" s="23"/>
      <c r="G173" s="23"/>
      <c r="H173" s="23"/>
      <c r="I173" s="23"/>
      <c r="J173" s="23"/>
      <c r="K173" s="23"/>
      <c r="L173" s="23"/>
    </row>
    <row r="174" spans="1:12" s="25" customFormat="1">
      <c r="A174" s="205"/>
      <c r="C174" s="195"/>
      <c r="F174" s="23"/>
      <c r="G174" s="23"/>
      <c r="H174" s="23"/>
      <c r="I174" s="23"/>
      <c r="J174" s="23"/>
      <c r="K174" s="23"/>
      <c r="L174" s="23"/>
    </row>
    <row r="175" spans="1:12" s="25" customFormat="1">
      <c r="A175" s="205"/>
      <c r="C175" s="195"/>
      <c r="F175" s="23"/>
      <c r="G175" s="23"/>
      <c r="H175" s="23"/>
      <c r="I175" s="23"/>
      <c r="J175" s="23"/>
      <c r="K175" s="23"/>
      <c r="L175" s="23"/>
    </row>
    <row r="176" spans="1:12" s="25" customFormat="1">
      <c r="A176" s="205"/>
      <c r="C176" s="195"/>
      <c r="F176" s="23"/>
      <c r="G176" s="23"/>
      <c r="H176" s="23"/>
      <c r="I176" s="23"/>
      <c r="J176" s="23"/>
      <c r="K176" s="23"/>
      <c r="L176" s="23"/>
    </row>
    <row r="177" spans="1:12" s="25" customFormat="1">
      <c r="A177" s="205"/>
      <c r="C177" s="195"/>
      <c r="F177" s="23"/>
      <c r="G177" s="23"/>
      <c r="H177" s="23"/>
      <c r="I177" s="23"/>
      <c r="J177" s="23"/>
      <c r="K177" s="23"/>
      <c r="L177" s="23"/>
    </row>
    <row r="178" spans="1:12" s="25" customFormat="1">
      <c r="A178" s="205"/>
      <c r="C178" s="195"/>
      <c r="F178" s="23"/>
      <c r="G178" s="23"/>
      <c r="H178" s="23"/>
      <c r="I178" s="23"/>
      <c r="J178" s="23"/>
      <c r="K178" s="23"/>
      <c r="L178" s="23"/>
    </row>
    <row r="179" spans="1:12" s="25" customFormat="1">
      <c r="A179" s="205"/>
      <c r="C179" s="195"/>
      <c r="F179" s="23"/>
      <c r="G179" s="23"/>
      <c r="H179" s="23"/>
      <c r="I179" s="23"/>
      <c r="J179" s="23"/>
      <c r="K179" s="23"/>
      <c r="L179" s="23"/>
    </row>
    <row r="180" spans="1:12" s="25" customFormat="1">
      <c r="A180" s="205"/>
      <c r="C180" s="195"/>
      <c r="F180" s="23"/>
      <c r="G180" s="23"/>
      <c r="H180" s="23"/>
      <c r="I180" s="23"/>
      <c r="J180" s="23"/>
      <c r="K180" s="23"/>
      <c r="L180" s="23"/>
    </row>
    <row r="181" spans="1:12" s="25" customFormat="1">
      <c r="A181" s="205"/>
      <c r="C181" s="195"/>
      <c r="F181" s="23"/>
      <c r="G181" s="23"/>
      <c r="H181" s="23"/>
      <c r="I181" s="23"/>
      <c r="J181" s="23"/>
      <c r="K181" s="23"/>
      <c r="L181" s="23"/>
    </row>
    <row r="182" spans="1:12" s="25" customFormat="1">
      <c r="A182" s="205"/>
      <c r="C182" s="195"/>
      <c r="F182" s="23"/>
      <c r="G182" s="23"/>
      <c r="H182" s="23"/>
      <c r="I182" s="23"/>
      <c r="J182" s="23"/>
      <c r="K182" s="23"/>
      <c r="L182" s="23"/>
    </row>
    <row r="183" spans="1:12" s="25" customFormat="1">
      <c r="A183" s="205"/>
      <c r="C183" s="195"/>
      <c r="F183" s="23"/>
      <c r="G183" s="23"/>
      <c r="H183" s="23"/>
      <c r="I183" s="23"/>
      <c r="J183" s="23"/>
      <c r="K183" s="23"/>
      <c r="L183" s="23"/>
    </row>
    <row r="184" spans="1:12" s="25" customFormat="1">
      <c r="A184" s="205"/>
      <c r="C184" s="195"/>
      <c r="F184" s="23"/>
      <c r="G184" s="23"/>
      <c r="H184" s="23"/>
      <c r="I184" s="23"/>
      <c r="J184" s="23"/>
      <c r="K184" s="23"/>
      <c r="L184" s="23"/>
    </row>
    <row r="185" spans="1:12" s="25" customFormat="1">
      <c r="A185" s="205"/>
      <c r="C185" s="195"/>
      <c r="F185" s="23"/>
      <c r="G185" s="23"/>
      <c r="H185" s="23"/>
      <c r="I185" s="23"/>
      <c r="J185" s="23"/>
      <c r="K185" s="23"/>
      <c r="L185" s="23"/>
    </row>
    <row r="186" spans="1:12" s="25" customFormat="1">
      <c r="A186" s="205"/>
      <c r="C186" s="195"/>
      <c r="F186" s="23"/>
      <c r="G186" s="23"/>
      <c r="H186" s="23"/>
      <c r="I186" s="23"/>
      <c r="J186" s="23"/>
      <c r="K186" s="23"/>
      <c r="L186" s="23"/>
    </row>
    <row r="187" spans="1:12" s="25" customFormat="1">
      <c r="A187" s="205"/>
      <c r="C187" s="195"/>
      <c r="F187" s="23"/>
      <c r="G187" s="23"/>
      <c r="H187" s="23"/>
      <c r="I187" s="23"/>
      <c r="J187" s="23"/>
      <c r="K187" s="23"/>
      <c r="L187" s="23"/>
    </row>
    <row r="188" spans="1:12" s="25" customFormat="1">
      <c r="A188" s="205"/>
      <c r="C188" s="195"/>
      <c r="F188" s="23"/>
      <c r="G188" s="23"/>
      <c r="H188" s="23"/>
      <c r="I188" s="23"/>
      <c r="J188" s="23"/>
      <c r="K188" s="23"/>
      <c r="L188" s="23"/>
    </row>
    <row r="189" spans="1:12" s="25" customFormat="1">
      <c r="A189" s="205"/>
      <c r="C189" s="195"/>
      <c r="F189" s="23"/>
      <c r="G189" s="23"/>
      <c r="H189" s="23"/>
      <c r="I189" s="23"/>
      <c r="J189" s="23"/>
      <c r="K189" s="23"/>
      <c r="L189" s="23"/>
    </row>
    <row r="190" spans="1:12" s="25" customFormat="1">
      <c r="A190" s="205"/>
      <c r="C190" s="195"/>
      <c r="F190" s="23"/>
      <c r="G190" s="23"/>
      <c r="H190" s="23"/>
      <c r="I190" s="23"/>
      <c r="J190" s="23"/>
      <c r="K190" s="23"/>
      <c r="L190" s="23"/>
    </row>
    <row r="191" spans="1:12" s="25" customFormat="1">
      <c r="A191" s="205"/>
      <c r="C191" s="195"/>
      <c r="F191" s="23"/>
      <c r="G191" s="23"/>
      <c r="H191" s="23"/>
      <c r="I191" s="23"/>
      <c r="J191" s="23"/>
      <c r="K191" s="23"/>
      <c r="L191" s="23"/>
    </row>
    <row r="192" spans="1:12" s="25" customFormat="1">
      <c r="A192" s="205"/>
      <c r="C192" s="195"/>
      <c r="F192" s="23"/>
      <c r="G192" s="23"/>
      <c r="H192" s="23"/>
      <c r="I192" s="23"/>
      <c r="J192" s="23"/>
      <c r="K192" s="23"/>
      <c r="L192" s="23"/>
    </row>
    <row r="193" spans="1:12" s="25" customFormat="1">
      <c r="A193" s="205"/>
      <c r="C193" s="195"/>
      <c r="F193" s="23"/>
      <c r="G193" s="23"/>
      <c r="H193" s="23"/>
      <c r="I193" s="23"/>
      <c r="J193" s="23"/>
      <c r="K193" s="23"/>
      <c r="L193" s="23"/>
    </row>
    <row r="194" spans="1:12" s="25" customFormat="1">
      <c r="A194" s="205"/>
      <c r="C194" s="195"/>
      <c r="F194" s="23"/>
      <c r="G194" s="23"/>
      <c r="H194" s="23"/>
      <c r="I194" s="23"/>
      <c r="J194" s="23"/>
      <c r="K194" s="23"/>
      <c r="L194" s="23"/>
    </row>
    <row r="195" spans="1:12" s="25" customFormat="1">
      <c r="A195" s="205"/>
      <c r="C195" s="195"/>
      <c r="F195" s="23"/>
      <c r="G195" s="23"/>
      <c r="H195" s="23"/>
      <c r="I195" s="23"/>
      <c r="J195" s="23"/>
      <c r="K195" s="23"/>
      <c r="L195" s="23"/>
    </row>
    <row r="196" spans="1:12" s="25" customFormat="1">
      <c r="A196" s="205"/>
      <c r="C196" s="195"/>
      <c r="F196" s="23"/>
      <c r="G196" s="23"/>
      <c r="H196" s="23"/>
      <c r="I196" s="23"/>
      <c r="J196" s="23"/>
      <c r="K196" s="23"/>
      <c r="L196" s="23"/>
    </row>
    <row r="197" spans="1:12" s="25" customFormat="1">
      <c r="A197" s="205"/>
      <c r="C197" s="195"/>
      <c r="F197" s="23"/>
      <c r="G197" s="23"/>
      <c r="H197" s="23"/>
      <c r="I197" s="23"/>
      <c r="J197" s="23"/>
      <c r="K197" s="23"/>
      <c r="L197" s="23"/>
    </row>
    <row r="198" spans="1:12" s="25" customFormat="1">
      <c r="A198" s="205"/>
      <c r="C198" s="195"/>
      <c r="F198" s="23"/>
      <c r="G198" s="23"/>
      <c r="H198" s="23"/>
      <c r="I198" s="23"/>
      <c r="J198" s="23"/>
      <c r="K198" s="23"/>
      <c r="L198" s="23"/>
    </row>
    <row r="199" spans="1:12" s="25" customFormat="1">
      <c r="A199" s="205"/>
      <c r="C199" s="195"/>
      <c r="F199" s="23"/>
      <c r="G199" s="23"/>
      <c r="H199" s="23"/>
      <c r="I199" s="23"/>
      <c r="J199" s="23"/>
      <c r="K199" s="23"/>
      <c r="L199" s="23"/>
    </row>
    <row r="200" spans="1:12" s="25" customFormat="1">
      <c r="A200" s="205"/>
      <c r="C200" s="195"/>
      <c r="F200" s="23"/>
      <c r="G200" s="23"/>
      <c r="H200" s="23"/>
      <c r="I200" s="23"/>
      <c r="J200" s="23"/>
      <c r="K200" s="23"/>
      <c r="L200" s="23"/>
    </row>
    <row r="201" spans="1:12" s="25" customFormat="1">
      <c r="A201" s="205"/>
      <c r="C201" s="195"/>
      <c r="F201" s="23"/>
      <c r="G201" s="23"/>
      <c r="H201" s="23"/>
      <c r="I201" s="23"/>
      <c r="J201" s="23"/>
      <c r="K201" s="23"/>
      <c r="L201" s="23"/>
    </row>
    <row r="202" spans="1:12" s="25" customFormat="1">
      <c r="A202" s="205"/>
      <c r="C202" s="195"/>
      <c r="F202" s="23"/>
      <c r="G202" s="23"/>
      <c r="H202" s="23"/>
      <c r="I202" s="23"/>
      <c r="J202" s="23"/>
      <c r="K202" s="23"/>
      <c r="L202" s="23"/>
    </row>
    <row r="203" spans="1:12" s="25" customFormat="1">
      <c r="A203" s="205"/>
      <c r="C203" s="195"/>
      <c r="F203" s="23"/>
      <c r="G203" s="23"/>
      <c r="H203" s="23"/>
      <c r="I203" s="23"/>
      <c r="J203" s="23"/>
      <c r="K203" s="23"/>
      <c r="L203" s="23"/>
    </row>
    <row r="204" spans="1:12" s="25" customFormat="1">
      <c r="A204" s="205"/>
      <c r="C204" s="195"/>
      <c r="F204" s="23"/>
      <c r="G204" s="23"/>
      <c r="H204" s="23"/>
      <c r="I204" s="23"/>
      <c r="J204" s="23"/>
      <c r="K204" s="23"/>
      <c r="L204" s="23"/>
    </row>
    <row r="205" spans="1:12" s="25" customFormat="1">
      <c r="A205" s="205"/>
      <c r="C205" s="195"/>
      <c r="F205" s="23"/>
      <c r="G205" s="23"/>
      <c r="H205" s="23"/>
      <c r="I205" s="23"/>
      <c r="J205" s="23"/>
      <c r="K205" s="23"/>
      <c r="L205" s="23"/>
    </row>
  </sheetData>
  <mergeCells count="14">
    <mergeCell ref="C55:F55"/>
    <mergeCell ref="H55:J55"/>
    <mergeCell ref="A6:J6"/>
    <mergeCell ref="A24:J24"/>
    <mergeCell ref="C54:F54"/>
    <mergeCell ref="H54:J54"/>
    <mergeCell ref="A1:J1"/>
    <mergeCell ref="A3:A4"/>
    <mergeCell ref="B3:B4"/>
    <mergeCell ref="C3:C4"/>
    <mergeCell ref="D3:D4"/>
    <mergeCell ref="E3:E4"/>
    <mergeCell ref="F3:F4"/>
    <mergeCell ref="G3:J3"/>
  </mergeCells>
  <phoneticPr fontId="7" type="noConversion"/>
  <pageMargins left="0.51181102362204722" right="0.39370078740157483" top="0.59055118110236227" bottom="0.59055118110236227" header="0.39370078740157483" footer="0.11811023622047245"/>
  <pageSetup paperSize="9" scale="61" fitToHeight="0" orientation="landscape" r:id="rId1"/>
  <headerFooter alignWithMargins="0">
    <oddHeader>&amp;C&amp;"Times New Roman,обычный"&amp;14 
7&amp;R
&amp;"Times New Roman,обычный"&amp;14Продовження додатка 1
Таблиця 2</oddHeader>
  </headerFooter>
  <ignoredErrors>
    <ignoredError sqref="F9 F25 F37 F42 F47 F5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U200"/>
  <sheetViews>
    <sheetView zoomScale="75" zoomScaleNormal="75" zoomScaleSheetLayoutView="50" workbookViewId="0">
      <pane xSplit="1" ySplit="5" topLeftCell="B108" activePane="bottomRight" state="frozen"/>
      <selection pane="topRight" activeCell="B1" sqref="B1"/>
      <selection pane="bottomLeft" activeCell="A6" sqref="A6"/>
      <selection pane="bottomRight" activeCell="A112" sqref="A112"/>
    </sheetView>
  </sheetViews>
  <sheetFormatPr defaultRowHeight="18.75" outlineLevelRow="1"/>
  <cols>
    <col min="1" max="1" width="93.28515625" style="81" customWidth="1"/>
    <col min="2" max="2" width="15" style="81" customWidth="1"/>
    <col min="3" max="3" width="16.85546875" style="81" customWidth="1"/>
    <col min="4" max="10" width="16" style="81" customWidth="1"/>
    <col min="11" max="11" width="19.42578125" style="81" customWidth="1"/>
    <col min="12" max="20" width="9.140625" style="81"/>
    <col min="21" max="21" width="13.7109375" style="81" bestFit="1" customWidth="1"/>
    <col min="22" max="16384" width="9.140625" style="81"/>
  </cols>
  <sheetData>
    <row r="1" spans="1:11">
      <c r="A1" s="343" t="s">
        <v>345</v>
      </c>
      <c r="B1" s="343"/>
      <c r="C1" s="343"/>
      <c r="D1" s="343"/>
      <c r="E1" s="343"/>
      <c r="F1" s="343"/>
      <c r="G1" s="343"/>
      <c r="H1" s="343"/>
      <c r="I1" s="343"/>
      <c r="J1" s="343"/>
    </row>
    <row r="2" spans="1:11" ht="48" customHeight="1">
      <c r="A2" s="206"/>
      <c r="B2" s="206"/>
      <c r="C2" s="59"/>
      <c r="D2" s="59"/>
      <c r="E2" s="59"/>
      <c r="F2" s="59"/>
      <c r="G2" s="206"/>
      <c r="H2" s="206"/>
      <c r="I2" s="206"/>
      <c r="J2" s="206"/>
    </row>
    <row r="3" spans="1:11" ht="48" customHeight="1">
      <c r="A3" s="372" t="s">
        <v>209</v>
      </c>
      <c r="B3" s="370" t="s">
        <v>0</v>
      </c>
      <c r="C3" s="370" t="s">
        <v>513</v>
      </c>
      <c r="D3" s="352" t="s">
        <v>596</v>
      </c>
      <c r="E3" s="370" t="s">
        <v>805</v>
      </c>
      <c r="F3" s="352" t="s">
        <v>595</v>
      </c>
      <c r="G3" s="352" t="s">
        <v>161</v>
      </c>
      <c r="H3" s="352"/>
      <c r="I3" s="352"/>
      <c r="J3" s="352"/>
    </row>
    <row r="4" spans="1:11" ht="38.25" customHeight="1">
      <c r="A4" s="373"/>
      <c r="B4" s="370"/>
      <c r="C4" s="370"/>
      <c r="D4" s="352"/>
      <c r="E4" s="370"/>
      <c r="F4" s="352"/>
      <c r="G4" s="99" t="s">
        <v>162</v>
      </c>
      <c r="H4" s="99" t="s">
        <v>163</v>
      </c>
      <c r="I4" s="99" t="s">
        <v>164</v>
      </c>
      <c r="J4" s="99" t="s">
        <v>71</v>
      </c>
    </row>
    <row r="5" spans="1:11" ht="18" customHeight="1">
      <c r="A5" s="129">
        <v>1</v>
      </c>
      <c r="B5" s="99">
        <v>2</v>
      </c>
      <c r="C5" s="99">
        <v>3</v>
      </c>
      <c r="D5" s="99">
        <v>4</v>
      </c>
      <c r="E5" s="99">
        <v>5</v>
      </c>
      <c r="F5" s="99">
        <v>6</v>
      </c>
      <c r="G5" s="99">
        <v>7</v>
      </c>
      <c r="H5" s="99">
        <v>8</v>
      </c>
      <c r="I5" s="99">
        <v>9</v>
      </c>
      <c r="J5" s="99">
        <v>10</v>
      </c>
    </row>
    <row r="6" spans="1:11" s="32" customFormat="1" ht="20.100000000000001" customHeight="1">
      <c r="A6" s="207" t="s">
        <v>144</v>
      </c>
      <c r="B6" s="207"/>
      <c r="C6" s="100"/>
      <c r="D6" s="100"/>
      <c r="E6" s="100"/>
      <c r="F6" s="100"/>
      <c r="G6" s="100"/>
      <c r="H6" s="100"/>
      <c r="I6" s="100"/>
      <c r="J6" s="208"/>
    </row>
    <row r="7" spans="1:11" ht="20.100000000000001" customHeight="1">
      <c r="A7" s="209" t="s">
        <v>303</v>
      </c>
      <c r="B7" s="210">
        <v>3000</v>
      </c>
      <c r="C7" s="95">
        <f>SUM(C8:C13,C17)</f>
        <v>296841</v>
      </c>
      <c r="D7" s="79">
        <f>SUM(D8:D13,D17)</f>
        <v>304107</v>
      </c>
      <c r="E7" s="79">
        <f>SUM(E8:E13,E17)</f>
        <v>190336</v>
      </c>
      <c r="F7" s="79">
        <f>SUM(G7:J7)</f>
        <v>205998</v>
      </c>
      <c r="G7" s="79">
        <f>SUM(G8:G13,G17)-G10</f>
        <v>60079</v>
      </c>
      <c r="H7" s="79">
        <f t="shared" ref="H7:J7" si="0">SUM(H8:H13,H17)-H10</f>
        <v>52774</v>
      </c>
      <c r="I7" s="79">
        <f t="shared" si="0"/>
        <v>45127</v>
      </c>
      <c r="J7" s="79">
        <f t="shared" si="0"/>
        <v>48018</v>
      </c>
      <c r="K7" s="58"/>
    </row>
    <row r="8" spans="1:11" ht="20.100000000000001" customHeight="1">
      <c r="A8" s="143" t="s">
        <v>392</v>
      </c>
      <c r="B8" s="144">
        <v>3010</v>
      </c>
      <c r="C8" s="72">
        <v>3729</v>
      </c>
      <c r="D8" s="72">
        <v>578</v>
      </c>
      <c r="E8" s="173">
        <v>766</v>
      </c>
      <c r="F8" s="72">
        <f t="shared" ref="F8:F16" si="1">SUM(G8:J8)</f>
        <v>498</v>
      </c>
      <c r="G8" s="72">
        <f>ROUND('I. Фін результат'!G7*1,0)</f>
        <v>95</v>
      </c>
      <c r="H8" s="72">
        <f>ROUND('I. Фін результат'!H7*1,0)</f>
        <v>185</v>
      </c>
      <c r="I8" s="72">
        <f>ROUND('I. Фін результат'!I7*1,0)</f>
        <v>109</v>
      </c>
      <c r="J8" s="72">
        <f>ROUND('I. Фін результат'!J7*1,0)</f>
        <v>109</v>
      </c>
    </row>
    <row r="9" spans="1:11" ht="20.100000000000001" customHeight="1">
      <c r="A9" s="143" t="s">
        <v>304</v>
      </c>
      <c r="B9" s="144">
        <v>3020</v>
      </c>
      <c r="C9" s="72">
        <v>21715</v>
      </c>
      <c r="D9" s="72"/>
      <c r="E9" s="72"/>
      <c r="F9" s="72">
        <f t="shared" si="1"/>
        <v>292</v>
      </c>
      <c r="G9" s="72"/>
      <c r="H9" s="72">
        <f>H10</f>
        <v>292</v>
      </c>
      <c r="I9" s="72">
        <f t="shared" ref="I9:J9" si="2">I10</f>
        <v>0</v>
      </c>
      <c r="J9" s="72">
        <f t="shared" si="2"/>
        <v>0</v>
      </c>
    </row>
    <row r="10" spans="1:11" ht="20.100000000000001" customHeight="1">
      <c r="A10" s="143" t="s">
        <v>305</v>
      </c>
      <c r="B10" s="144">
        <v>3030</v>
      </c>
      <c r="C10" s="72"/>
      <c r="D10" s="72"/>
      <c r="E10" s="72"/>
      <c r="F10" s="72">
        <f t="shared" si="1"/>
        <v>292</v>
      </c>
      <c r="G10" s="72"/>
      <c r="H10" s="72">
        <f>-'ІІ. Розр. з бюджетом'!H28</f>
        <v>292</v>
      </c>
      <c r="I10" s="72">
        <f>-'ІІ. Розр. з бюджетом'!I28</f>
        <v>0</v>
      </c>
      <c r="J10" s="72">
        <f>-'ІІ. Розр. з бюджетом'!J28</f>
        <v>0</v>
      </c>
    </row>
    <row r="11" spans="1:11" ht="20.100000000000001" customHeight="1">
      <c r="A11" s="143" t="s">
        <v>588</v>
      </c>
      <c r="B11" s="144">
        <v>3040</v>
      </c>
      <c r="C11" s="72">
        <v>848</v>
      </c>
      <c r="D11" s="72">
        <v>400</v>
      </c>
      <c r="E11" s="72">
        <v>1101</v>
      </c>
      <c r="F11" s="72">
        <f t="shared" si="1"/>
        <v>400</v>
      </c>
      <c r="G11" s="72">
        <v>100</v>
      </c>
      <c r="H11" s="72">
        <v>100</v>
      </c>
      <c r="I11" s="72">
        <v>100</v>
      </c>
      <c r="J11" s="72">
        <v>100</v>
      </c>
    </row>
    <row r="12" spans="1:11">
      <c r="A12" s="143" t="s">
        <v>306</v>
      </c>
      <c r="B12" s="144">
        <v>3050</v>
      </c>
      <c r="C12" s="72">
        <v>159</v>
      </c>
      <c r="D12" s="72"/>
      <c r="E12" s="72">
        <v>297</v>
      </c>
      <c r="F12" s="72">
        <f t="shared" si="1"/>
        <v>80</v>
      </c>
      <c r="G12" s="72">
        <v>20</v>
      </c>
      <c r="H12" s="72">
        <v>20</v>
      </c>
      <c r="I12" s="72">
        <v>20</v>
      </c>
      <c r="J12" s="72">
        <v>20</v>
      </c>
    </row>
    <row r="13" spans="1:11">
      <c r="A13" s="143" t="s">
        <v>96</v>
      </c>
      <c r="B13" s="144">
        <v>3060</v>
      </c>
      <c r="C13" s="72">
        <f>SUM(C14:C16)</f>
        <v>0</v>
      </c>
      <c r="D13" s="72">
        <f>SUM(D14:D16)</f>
        <v>0</v>
      </c>
      <c r="E13" s="72">
        <f>SUM(E14:E16)</f>
        <v>0</v>
      </c>
      <c r="F13" s="72">
        <f t="shared" si="1"/>
        <v>0</v>
      </c>
      <c r="G13" s="72">
        <f>SUM(G14:G16)</f>
        <v>0</v>
      </c>
      <c r="H13" s="72">
        <f>SUM(H14:H16)</f>
        <v>0</v>
      </c>
      <c r="I13" s="72">
        <f>SUM(I14:I16)</f>
        <v>0</v>
      </c>
      <c r="J13" s="72">
        <f>SUM(J14:J16)</f>
        <v>0</v>
      </c>
    </row>
    <row r="14" spans="1:11" ht="20.100000000000001" customHeight="1">
      <c r="A14" s="143" t="s">
        <v>94</v>
      </c>
      <c r="B14" s="126">
        <v>3061</v>
      </c>
      <c r="C14" s="72"/>
      <c r="D14" s="72"/>
      <c r="E14" s="72"/>
      <c r="F14" s="72">
        <f t="shared" si="1"/>
        <v>0</v>
      </c>
      <c r="G14" s="72"/>
      <c r="H14" s="72"/>
      <c r="I14" s="72"/>
      <c r="J14" s="72"/>
    </row>
    <row r="15" spans="1:11" ht="20.100000000000001" customHeight="1">
      <c r="A15" s="143" t="s">
        <v>97</v>
      </c>
      <c r="B15" s="126">
        <v>3062</v>
      </c>
      <c r="C15" s="72"/>
      <c r="D15" s="72"/>
      <c r="E15" s="72"/>
      <c r="F15" s="72">
        <f t="shared" si="1"/>
        <v>0</v>
      </c>
      <c r="G15" s="72"/>
      <c r="H15" s="72"/>
      <c r="I15" s="72"/>
      <c r="J15" s="72"/>
    </row>
    <row r="16" spans="1:11" ht="20.100000000000001" customHeight="1">
      <c r="A16" s="143" t="s">
        <v>118</v>
      </c>
      <c r="B16" s="126">
        <v>3063</v>
      </c>
      <c r="C16" s="72"/>
      <c r="D16" s="72"/>
      <c r="E16" s="72"/>
      <c r="F16" s="72">
        <f t="shared" si="1"/>
        <v>0</v>
      </c>
      <c r="G16" s="72"/>
      <c r="H16" s="72"/>
      <c r="I16" s="72"/>
      <c r="J16" s="72"/>
    </row>
    <row r="17" spans="1:21" ht="20.100000000000001" customHeight="1">
      <c r="A17" s="143" t="s">
        <v>393</v>
      </c>
      <c r="B17" s="144">
        <v>3070</v>
      </c>
      <c r="C17" s="173">
        <v>270390</v>
      </c>
      <c r="D17" s="72">
        <f>D18+D19+D23+D25+D24</f>
        <v>303129</v>
      </c>
      <c r="E17" s="72">
        <f>E18+E19+E23+E25+E24</f>
        <v>188172</v>
      </c>
      <c r="F17" s="72">
        <f t="shared" ref="F17:F32" si="3">SUM(G17:J17)</f>
        <v>204728</v>
      </c>
      <c r="G17" s="72">
        <f>SUM(G18:G19,G23:G25)</f>
        <v>59864</v>
      </c>
      <c r="H17" s="72">
        <f>SUM(H18:H19,H23:H25)</f>
        <v>52177</v>
      </c>
      <c r="I17" s="72">
        <f>SUM(I18:I19,I23:I25)</f>
        <v>44898</v>
      </c>
      <c r="J17" s="72">
        <f>SUM(J18:J19,J23:J25)</f>
        <v>47789</v>
      </c>
    </row>
    <row r="18" spans="1:21" ht="20.100000000000001" customHeight="1">
      <c r="A18" s="143" t="s">
        <v>483</v>
      </c>
      <c r="B18" s="144" t="s">
        <v>713</v>
      </c>
      <c r="C18" s="72">
        <v>2548.4</v>
      </c>
      <c r="D18" s="72">
        <v>2220</v>
      </c>
      <c r="E18" s="72">
        <v>2284</v>
      </c>
      <c r="F18" s="72">
        <f t="shared" si="3"/>
        <v>2504</v>
      </c>
      <c r="G18" s="72">
        <v>626</v>
      </c>
      <c r="H18" s="72">
        <v>626</v>
      </c>
      <c r="I18" s="72">
        <v>626</v>
      </c>
      <c r="J18" s="72">
        <v>626</v>
      </c>
    </row>
    <row r="19" spans="1:21" ht="36.75" customHeight="1">
      <c r="A19" s="143" t="s">
        <v>486</v>
      </c>
      <c r="B19" s="144" t="s">
        <v>714</v>
      </c>
      <c r="C19" s="72">
        <v>262300</v>
      </c>
      <c r="D19" s="72">
        <f>SUM(D20:D22)</f>
        <v>240482</v>
      </c>
      <c r="E19" s="72">
        <f>SUM(E20:E22)</f>
        <v>174140</v>
      </c>
      <c r="F19" s="72">
        <f t="shared" si="3"/>
        <v>193399</v>
      </c>
      <c r="G19" s="72">
        <f>SUM(G20:G22)</f>
        <v>57113</v>
      </c>
      <c r="H19" s="72">
        <f>SUM(H20:H22)</f>
        <v>49151</v>
      </c>
      <c r="I19" s="72">
        <f t="shared" ref="I19:J19" si="4">SUM(I20:I22)</f>
        <v>41972</v>
      </c>
      <c r="J19" s="72">
        <f t="shared" si="4"/>
        <v>45163</v>
      </c>
    </row>
    <row r="20" spans="1:21" ht="36.75" customHeight="1">
      <c r="A20" s="143" t="s">
        <v>634</v>
      </c>
      <c r="B20" s="144" t="s">
        <v>715</v>
      </c>
      <c r="C20" s="72">
        <f>C19-C21-C22</f>
        <v>63144.7</v>
      </c>
      <c r="D20" s="72"/>
      <c r="E20" s="72"/>
      <c r="F20" s="72"/>
      <c r="G20" s="72"/>
      <c r="H20" s="72"/>
      <c r="I20" s="72"/>
      <c r="J20" s="72"/>
    </row>
    <row r="21" spans="1:21" ht="20.100000000000001" customHeight="1">
      <c r="A21" s="143" t="s">
        <v>586</v>
      </c>
      <c r="B21" s="144" t="s">
        <v>716</v>
      </c>
      <c r="C21" s="72">
        <v>132482</v>
      </c>
      <c r="D21" s="72">
        <v>192166</v>
      </c>
      <c r="E21" s="72">
        <v>174140</v>
      </c>
      <c r="F21" s="72">
        <f t="shared" si="3"/>
        <v>183984</v>
      </c>
      <c r="G21" s="72">
        <f>'I. Фін результат'!G86</f>
        <v>47698</v>
      </c>
      <c r="H21" s="72">
        <f>'I. Фін результат'!H86</f>
        <v>49151</v>
      </c>
      <c r="I21" s="72">
        <f>'I. Фін результат'!I86-15110</f>
        <v>41972</v>
      </c>
      <c r="J21" s="72">
        <f>'I. Фін результат'!J86</f>
        <v>45163</v>
      </c>
    </row>
    <row r="22" spans="1:21" ht="20.100000000000001" customHeight="1">
      <c r="A22" s="143" t="s">
        <v>587</v>
      </c>
      <c r="B22" s="144" t="s">
        <v>717</v>
      </c>
      <c r="C22" s="72">
        <v>66673.3</v>
      </c>
      <c r="D22" s="72">
        <v>48316</v>
      </c>
      <c r="E22" s="72"/>
      <c r="F22" s="72">
        <f t="shared" si="3"/>
        <v>9415</v>
      </c>
      <c r="G22" s="72">
        <v>9415</v>
      </c>
      <c r="H22" s="72"/>
      <c r="I22" s="72"/>
      <c r="J22" s="72"/>
    </row>
    <row r="23" spans="1:21" ht="20.100000000000001" customHeight="1">
      <c r="A23" s="143" t="s">
        <v>466</v>
      </c>
      <c r="B23" s="144" t="s">
        <v>718</v>
      </c>
      <c r="C23" s="72">
        <v>4199</v>
      </c>
      <c r="D23" s="72">
        <v>3400</v>
      </c>
      <c r="E23" s="72">
        <v>8740</v>
      </c>
      <c r="F23" s="72">
        <f t="shared" si="3"/>
        <v>7625</v>
      </c>
      <c r="G23" s="72">
        <v>1825</v>
      </c>
      <c r="H23" s="72">
        <v>2100</v>
      </c>
      <c r="I23" s="72">
        <v>2000</v>
      </c>
      <c r="J23" s="72">
        <v>1700</v>
      </c>
    </row>
    <row r="24" spans="1:21" ht="20.100000000000001" customHeight="1">
      <c r="A24" s="143" t="s">
        <v>470</v>
      </c>
      <c r="B24" s="144" t="s">
        <v>719</v>
      </c>
      <c r="C24" s="72">
        <v>1342.6</v>
      </c>
      <c r="D24" s="72">
        <v>57027</v>
      </c>
      <c r="E24" s="72">
        <v>3008</v>
      </c>
      <c r="F24" s="72">
        <f t="shared" ref="F24" si="5">SUM(G24:J24)</f>
        <v>1200</v>
      </c>
      <c r="G24" s="72">
        <v>300</v>
      </c>
      <c r="H24" s="72">
        <v>300</v>
      </c>
      <c r="I24" s="72">
        <v>300</v>
      </c>
      <c r="J24" s="72">
        <v>300</v>
      </c>
    </row>
    <row r="25" spans="1:21" ht="20.100000000000001" customHeight="1">
      <c r="A25" s="143" t="s">
        <v>670</v>
      </c>
      <c r="B25" s="144" t="s">
        <v>720</v>
      </c>
      <c r="C25" s="72"/>
      <c r="D25" s="72"/>
      <c r="E25" s="72"/>
      <c r="F25" s="72">
        <f t="shared" si="3"/>
        <v>0</v>
      </c>
      <c r="G25" s="72"/>
      <c r="H25" s="72"/>
      <c r="I25" s="72"/>
      <c r="J25" s="72"/>
    </row>
    <row r="26" spans="1:21" ht="20.100000000000001" customHeight="1">
      <c r="A26" s="176" t="s">
        <v>307</v>
      </c>
      <c r="B26" s="177">
        <v>3100</v>
      </c>
      <c r="C26" s="95">
        <f t="shared" ref="C26:J26" si="6">SUM(C27:C35,C39,C54,C55)-C27</f>
        <v>-280674.2</v>
      </c>
      <c r="D26" s="95">
        <f t="shared" si="6"/>
        <v>-203589</v>
      </c>
      <c r="E26" s="95">
        <f t="shared" si="6"/>
        <v>-170909</v>
      </c>
      <c r="F26" s="95">
        <f t="shared" si="6"/>
        <v>-214072</v>
      </c>
      <c r="G26" s="95">
        <f t="shared" si="6"/>
        <v>-49803</v>
      </c>
      <c r="H26" s="95">
        <f t="shared" si="6"/>
        <v>-51693</v>
      </c>
      <c r="I26" s="95">
        <f t="shared" si="6"/>
        <v>-62092</v>
      </c>
      <c r="J26" s="95">
        <f t="shared" si="6"/>
        <v>-50484</v>
      </c>
    </row>
    <row r="27" spans="1:21" ht="20.100000000000001" customHeight="1">
      <c r="A27" s="143" t="s">
        <v>646</v>
      </c>
      <c r="B27" s="144">
        <v>3110</v>
      </c>
      <c r="C27" s="72">
        <f>SUM(C28:C32)</f>
        <v>-42627.199999999997</v>
      </c>
      <c r="D27" s="72">
        <f>SUM(D28:D32)</f>
        <v>-65903</v>
      </c>
      <c r="E27" s="72">
        <f>SUM(E28:E32)</f>
        <v>-48001</v>
      </c>
      <c r="F27" s="72">
        <f>SUM(G27:J27)</f>
        <v>-66438</v>
      </c>
      <c r="G27" s="72">
        <f>SUM(G28:G32)</f>
        <v>-13815</v>
      </c>
      <c r="H27" s="72">
        <f t="shared" ref="H27:J27" si="7">SUM(H28:H32)</f>
        <v>-12689</v>
      </c>
      <c r="I27" s="72">
        <f>SUM(I28:I32)</f>
        <v>-25387</v>
      </c>
      <c r="J27" s="72">
        <f t="shared" si="7"/>
        <v>-14547</v>
      </c>
    </row>
    <row r="28" spans="1:21" ht="20.100000000000001" customHeight="1">
      <c r="A28" s="143" t="s">
        <v>647</v>
      </c>
      <c r="B28" s="144" t="s">
        <v>642</v>
      </c>
      <c r="C28" s="72">
        <v>-41325.4</v>
      </c>
      <c r="D28" s="72">
        <v>-53780</v>
      </c>
      <c r="E28" s="72">
        <v>-34312</v>
      </c>
      <c r="F28" s="72">
        <f t="shared" si="3"/>
        <v>-47338</v>
      </c>
      <c r="G28" s="72">
        <v>-9815</v>
      </c>
      <c r="H28" s="72">
        <v>-10639</v>
      </c>
      <c r="I28" s="72">
        <v>-18887</v>
      </c>
      <c r="J28" s="72">
        <v>-7997</v>
      </c>
    </row>
    <row r="29" spans="1:21" ht="20.100000000000001" customHeight="1">
      <c r="A29" s="143" t="s">
        <v>531</v>
      </c>
      <c r="B29" s="144" t="s">
        <v>643</v>
      </c>
      <c r="C29" s="72">
        <v>-386.2</v>
      </c>
      <c r="D29" s="72">
        <v>-8846</v>
      </c>
      <c r="E29" s="72">
        <v>-11229</v>
      </c>
      <c r="F29" s="72">
        <f t="shared" si="3"/>
        <v>-18000</v>
      </c>
      <c r="G29" s="72">
        <v>-4000</v>
      </c>
      <c r="H29" s="72">
        <v>-1000</v>
      </c>
      <c r="I29" s="72">
        <v>-6500</v>
      </c>
      <c r="J29" s="72">
        <v>-6500</v>
      </c>
    </row>
    <row r="30" spans="1:21" ht="42" customHeight="1">
      <c r="A30" s="143" t="s">
        <v>473</v>
      </c>
      <c r="B30" s="144" t="s">
        <v>644</v>
      </c>
      <c r="C30" s="72">
        <v>-915.6</v>
      </c>
      <c r="D30" s="72">
        <v>-3077</v>
      </c>
      <c r="E30" s="72">
        <v>-2460</v>
      </c>
      <c r="F30" s="72">
        <f t="shared" si="3"/>
        <v>-1100</v>
      </c>
      <c r="G30" s="72">
        <v>0</v>
      </c>
      <c r="H30" s="72">
        <v>-1050</v>
      </c>
      <c r="I30" s="72"/>
      <c r="J30" s="72">
        <v>-50</v>
      </c>
      <c r="U30" s="107"/>
    </row>
    <row r="31" spans="1:21" ht="42" customHeight="1">
      <c r="A31" s="143" t="s">
        <v>671</v>
      </c>
      <c r="B31" s="144" t="s">
        <v>645</v>
      </c>
      <c r="C31" s="72"/>
      <c r="D31" s="72">
        <v>-150</v>
      </c>
      <c r="E31" s="72"/>
      <c r="F31" s="72">
        <f t="shared" si="3"/>
        <v>0</v>
      </c>
      <c r="G31" s="72"/>
      <c r="H31" s="72"/>
      <c r="I31" s="72"/>
      <c r="J31" s="72"/>
    </row>
    <row r="32" spans="1:21" ht="28.5" customHeight="1">
      <c r="A32" s="143" t="s">
        <v>628</v>
      </c>
      <c r="B32" s="144" t="s">
        <v>648</v>
      </c>
      <c r="C32" s="72"/>
      <c r="D32" s="72">
        <v>-50</v>
      </c>
      <c r="E32" s="72">
        <v>0</v>
      </c>
      <c r="F32" s="72">
        <f t="shared" si="3"/>
        <v>0</v>
      </c>
      <c r="G32" s="72"/>
      <c r="H32" s="72"/>
      <c r="I32" s="72"/>
      <c r="J32" s="72"/>
    </row>
    <row r="33" spans="1:10" ht="20.100000000000001" customHeight="1">
      <c r="A33" s="143" t="s">
        <v>308</v>
      </c>
      <c r="B33" s="144">
        <v>3120</v>
      </c>
      <c r="C33" s="72">
        <v>-66740</v>
      </c>
      <c r="D33" s="72">
        <f>-ROUND(('I. Фін результат'!D143+'ІІІ. Рух грош. коштів'!D44+'ІІІ. Рух грош. коштів'!D49),0)</f>
        <v>-79904</v>
      </c>
      <c r="E33" s="72">
        <v>-67525</v>
      </c>
      <c r="F33" s="72">
        <f>SUM(G33:J33)</f>
        <v>-85458</v>
      </c>
      <c r="G33" s="72">
        <f>-ROUND(('I. Фін результат'!G143+'ІІІ. Рух грош. коштів'!G44+'ІІІ. Рух грош. коштів'!G49),0)</f>
        <v>-20625</v>
      </c>
      <c r="H33" s="72">
        <f>-ROUND(('I. Фін результат'!H143+'ІІІ. Рух грош. коштів'!H44+'ІІІ. Рух грош. коштів'!H49),0)</f>
        <v>-22396</v>
      </c>
      <c r="I33" s="72">
        <f>-ROUND(('I. Фін результат'!I143+'ІІІ. Рух грош. коштів'!I44+'ІІІ. Рух грош. коштів'!I49),0)</f>
        <v>-21388</v>
      </c>
      <c r="J33" s="72">
        <f>-ROUND(('I. Фін результат'!J143+'ІІІ. Рух грош. коштів'!J44+'ІІІ. Рух грош. коштів'!J49),0)</f>
        <v>-21049</v>
      </c>
    </row>
    <row r="34" spans="1:10" ht="20.100000000000001" customHeight="1">
      <c r="A34" s="143" t="s">
        <v>6</v>
      </c>
      <c r="B34" s="144">
        <v>3130</v>
      </c>
      <c r="C34" s="72">
        <v>-17384</v>
      </c>
      <c r="D34" s="72">
        <f>-'ІІ. Розр. з бюджетом'!D45</f>
        <v>-21947</v>
      </c>
      <c r="E34" s="72">
        <f>-'ІІ. Розр. з бюджетом'!E45</f>
        <v>-18166</v>
      </c>
      <c r="F34" s="72">
        <f>SUM(G34:J34)</f>
        <v>-23354</v>
      </c>
      <c r="G34" s="72">
        <f>-'ІІ. Розр. з бюджетом'!G45</f>
        <v>-5636</v>
      </c>
      <c r="H34" s="72">
        <f>-'ІІ. Розр. з бюджетом'!H45</f>
        <v>-6120</v>
      </c>
      <c r="I34" s="72">
        <f>-'ІІ. Розр. з бюджетом'!I45</f>
        <v>-5845</v>
      </c>
      <c r="J34" s="72">
        <f>-'ІІ. Розр. з бюджетом'!J45</f>
        <v>-5753</v>
      </c>
    </row>
    <row r="35" spans="1:10" ht="20.100000000000001" customHeight="1">
      <c r="A35" s="143" t="s">
        <v>95</v>
      </c>
      <c r="B35" s="144">
        <v>3140</v>
      </c>
      <c r="C35" s="72">
        <f>SUM(C36:C38)</f>
        <v>0</v>
      </c>
      <c r="D35" s="72">
        <f>SUM(D36:D38)</f>
        <v>0</v>
      </c>
      <c r="E35" s="72">
        <f>SUM(E36:E38)</f>
        <v>0</v>
      </c>
      <c r="F35" s="72">
        <f>SUM(G35:J35)</f>
        <v>0</v>
      </c>
      <c r="G35" s="72">
        <f>SUM(G36:G38)</f>
        <v>0</v>
      </c>
      <c r="H35" s="72">
        <f>SUM(H36:H38)</f>
        <v>0</v>
      </c>
      <c r="I35" s="72">
        <f>SUM(I36:I38)</f>
        <v>0</v>
      </c>
      <c r="J35" s="72">
        <f>SUM(J36:J38)</f>
        <v>0</v>
      </c>
    </row>
    <row r="36" spans="1:10" ht="20.100000000000001" customHeight="1">
      <c r="A36" s="143" t="s">
        <v>94</v>
      </c>
      <c r="B36" s="126">
        <v>3141</v>
      </c>
      <c r="C36" s="72" t="s">
        <v>251</v>
      </c>
      <c r="D36" s="72" t="s">
        <v>251</v>
      </c>
      <c r="E36" s="72" t="s">
        <v>251</v>
      </c>
      <c r="F36" s="72">
        <f t="shared" ref="F36:F72" si="8">SUM(G36:J36)</f>
        <v>0</v>
      </c>
      <c r="G36" s="72" t="s">
        <v>251</v>
      </c>
      <c r="H36" s="72" t="s">
        <v>251</v>
      </c>
      <c r="I36" s="72" t="s">
        <v>251</v>
      </c>
      <c r="J36" s="72" t="s">
        <v>251</v>
      </c>
    </row>
    <row r="37" spans="1:10" ht="20.100000000000001" customHeight="1">
      <c r="A37" s="143" t="s">
        <v>97</v>
      </c>
      <c r="B37" s="126">
        <v>3142</v>
      </c>
      <c r="C37" s="72" t="s">
        <v>251</v>
      </c>
      <c r="D37" s="72" t="s">
        <v>251</v>
      </c>
      <c r="E37" s="72" t="s">
        <v>251</v>
      </c>
      <c r="F37" s="72">
        <f t="shared" si="8"/>
        <v>0</v>
      </c>
      <c r="G37" s="72" t="s">
        <v>251</v>
      </c>
      <c r="H37" s="72" t="s">
        <v>251</v>
      </c>
      <c r="I37" s="72" t="s">
        <v>251</v>
      </c>
      <c r="J37" s="72" t="s">
        <v>251</v>
      </c>
    </row>
    <row r="38" spans="1:10" ht="20.100000000000001" customHeight="1">
      <c r="A38" s="143" t="s">
        <v>118</v>
      </c>
      <c r="B38" s="126">
        <v>3143</v>
      </c>
      <c r="C38" s="72" t="s">
        <v>251</v>
      </c>
      <c r="D38" s="72" t="s">
        <v>251</v>
      </c>
      <c r="E38" s="72" t="s">
        <v>251</v>
      </c>
      <c r="F38" s="72">
        <f t="shared" si="8"/>
        <v>0</v>
      </c>
      <c r="G38" s="72" t="s">
        <v>251</v>
      </c>
      <c r="H38" s="72" t="s">
        <v>251</v>
      </c>
      <c r="I38" s="72" t="s">
        <v>251</v>
      </c>
      <c r="J38" s="72" t="s">
        <v>251</v>
      </c>
    </row>
    <row r="39" spans="1:10" ht="20.100000000000001" customHeight="1">
      <c r="A39" s="143" t="s">
        <v>309</v>
      </c>
      <c r="B39" s="144">
        <v>3150</v>
      </c>
      <c r="C39" s="173">
        <f>SUM(C40:C45,C48)</f>
        <v>-115323.99999999999</v>
      </c>
      <c r="D39" s="72">
        <f>SUM(D40:D45,D48)</f>
        <v>-26452</v>
      </c>
      <c r="E39" s="72">
        <f>SUM(E40:E45,E48)</f>
        <v>-23744</v>
      </c>
      <c r="F39" s="72">
        <f t="shared" si="8"/>
        <v>-27104</v>
      </c>
      <c r="G39" s="72">
        <f>SUM(G40:G45,G48)</f>
        <v>-6893</v>
      </c>
      <c r="H39" s="72">
        <f>SUM(H40:H45,H48)</f>
        <v>-7493</v>
      </c>
      <c r="I39" s="72">
        <f>SUM(I40:I45,I48)</f>
        <v>-6488</v>
      </c>
      <c r="J39" s="72">
        <f>SUM(J40:J45,J48)</f>
        <v>-6230</v>
      </c>
    </row>
    <row r="40" spans="1:10" ht="20.100000000000001" customHeight="1">
      <c r="A40" s="143" t="s">
        <v>310</v>
      </c>
      <c r="B40" s="126">
        <v>3151</v>
      </c>
      <c r="C40" s="72">
        <v>-23609</v>
      </c>
      <c r="D40" s="72">
        <f>-'ІІ. Розр. з бюджетом'!D26</f>
        <v>-3231</v>
      </c>
      <c r="E40" s="72">
        <f>-'ІІ. Розр. з бюджетом'!E26</f>
        <v>-1183</v>
      </c>
      <c r="F40" s="72">
        <f t="shared" si="8"/>
        <v>-1351</v>
      </c>
      <c r="G40" s="72">
        <f>-'ІІ. Розр. з бюджетом'!G26</f>
        <v>-216</v>
      </c>
      <c r="H40" s="72">
        <f>-'ІІ. Розр. з бюджетом'!H26</f>
        <v>-810</v>
      </c>
      <c r="I40" s="72">
        <f>-'ІІ. Розр. з бюджетом'!I26</f>
        <v>-169</v>
      </c>
      <c r="J40" s="72">
        <f>-'ІІ. Розр. з бюджетом'!J26</f>
        <v>-156</v>
      </c>
    </row>
    <row r="41" spans="1:10" ht="20.100000000000001" customHeight="1">
      <c r="A41" s="143" t="s">
        <v>311</v>
      </c>
      <c r="B41" s="126">
        <v>3152</v>
      </c>
      <c r="C41" s="72">
        <v>-165</v>
      </c>
      <c r="D41" s="72">
        <f>-'ІІ. Розр. з бюджетом'!D27</f>
        <v>-130</v>
      </c>
      <c r="E41" s="72">
        <f>-'ІІ. Розр. з бюджетом'!E27</f>
        <v>-167</v>
      </c>
      <c r="F41" s="72">
        <f t="shared" si="8"/>
        <v>-15</v>
      </c>
      <c r="G41" s="72">
        <f>-'ІІ. Розр. з бюджетом'!G27</f>
        <v>-15</v>
      </c>
      <c r="H41" s="72">
        <f>-'ІІ. Розр. з бюджетом'!H27</f>
        <v>0</v>
      </c>
      <c r="I41" s="72">
        <f>-'ІІ. Розр. з бюджетом'!I27</f>
        <v>0</v>
      </c>
      <c r="J41" s="72">
        <f>-'ІІ. Розр. з бюджетом'!J27</f>
        <v>0</v>
      </c>
    </row>
    <row r="42" spans="1:10" ht="20.100000000000001" customHeight="1">
      <c r="A42" s="143" t="s">
        <v>87</v>
      </c>
      <c r="B42" s="126">
        <v>3153</v>
      </c>
      <c r="C42" s="72" t="s">
        <v>251</v>
      </c>
      <c r="D42" s="72" t="s">
        <v>251</v>
      </c>
      <c r="E42" s="72"/>
      <c r="F42" s="72">
        <f t="shared" si="8"/>
        <v>0</v>
      </c>
      <c r="G42" s="72" t="s">
        <v>251</v>
      </c>
      <c r="H42" s="72" t="s">
        <v>251</v>
      </c>
      <c r="I42" s="72" t="s">
        <v>251</v>
      </c>
      <c r="J42" s="72" t="s">
        <v>251</v>
      </c>
    </row>
    <row r="43" spans="1:10" ht="20.100000000000001" customHeight="1">
      <c r="A43" s="143" t="s">
        <v>312</v>
      </c>
      <c r="B43" s="126">
        <v>3154</v>
      </c>
      <c r="C43" s="72" t="s">
        <v>251</v>
      </c>
      <c r="D43" s="72" t="s">
        <v>251</v>
      </c>
      <c r="E43" s="72"/>
      <c r="F43" s="72">
        <f t="shared" si="8"/>
        <v>0</v>
      </c>
      <c r="G43" s="72" t="s">
        <v>251</v>
      </c>
      <c r="H43" s="72" t="s">
        <v>251</v>
      </c>
      <c r="I43" s="72" t="s">
        <v>251</v>
      </c>
      <c r="J43" s="72" t="s">
        <v>251</v>
      </c>
    </row>
    <row r="44" spans="1:10" ht="20.100000000000001" customHeight="1">
      <c r="A44" s="143" t="s">
        <v>86</v>
      </c>
      <c r="B44" s="126">
        <v>3155</v>
      </c>
      <c r="C44" s="72">
        <v>-15188.6</v>
      </c>
      <c r="D44" s="72">
        <f>-'ІІ. Розр. з бюджетом'!D38</f>
        <v>-17867</v>
      </c>
      <c r="E44" s="72">
        <f>-'ІІ. Розр. з бюджетом'!E38</f>
        <v>-15335</v>
      </c>
      <c r="F44" s="72">
        <f t="shared" si="8"/>
        <v>-19109</v>
      </c>
      <c r="G44" s="72">
        <f>-'ІІ. Розр. з бюджетом'!G38</f>
        <v>-4612</v>
      </c>
      <c r="H44" s="72">
        <f>-'ІІ. Розр. з бюджетом'!H38</f>
        <v>-5008</v>
      </c>
      <c r="I44" s="72">
        <f>-'ІІ. Розр. з бюджетом'!I38</f>
        <v>-4783</v>
      </c>
      <c r="J44" s="72">
        <f>-'ІІ. Розр. з бюджетом'!J38</f>
        <v>-4706</v>
      </c>
    </row>
    <row r="45" spans="1:10" ht="20.100000000000001" customHeight="1">
      <c r="A45" s="143" t="s">
        <v>313</v>
      </c>
      <c r="B45" s="126">
        <v>3156</v>
      </c>
      <c r="C45" s="79">
        <f>SUM(C46,C47)</f>
        <v>-74261.2</v>
      </c>
      <c r="D45" s="79">
        <f>SUM(D46,D47)</f>
        <v>-2395</v>
      </c>
      <c r="E45" s="79">
        <f>E46+E47</f>
        <v>-4629</v>
      </c>
      <c r="F45" s="79">
        <f t="shared" si="8"/>
        <v>-4066</v>
      </c>
      <c r="G45" s="79">
        <f>SUM(G46,G47)</f>
        <v>-1200</v>
      </c>
      <c r="H45" s="79">
        <f>SUM(H46,H47)</f>
        <v>-1060</v>
      </c>
      <c r="I45" s="79">
        <f>SUM(I46,I47)</f>
        <v>-939</v>
      </c>
      <c r="J45" s="79">
        <f>SUM(J46,J47)</f>
        <v>-867</v>
      </c>
    </row>
    <row r="46" spans="1:10" ht="19.5" customHeight="1">
      <c r="A46" s="143" t="s">
        <v>314</v>
      </c>
      <c r="B46" s="126" t="s">
        <v>721</v>
      </c>
      <c r="C46" s="72">
        <v>-74261.2</v>
      </c>
      <c r="D46" s="72">
        <f>-ROUND(('ІІ. Розр. з бюджетом'!D30),0)</f>
        <v>-2395</v>
      </c>
      <c r="E46" s="72">
        <f>-'ІІ. Розр. з бюджетом'!E30</f>
        <v>-4629</v>
      </c>
      <c r="F46" s="72">
        <f t="shared" si="8"/>
        <v>-4066</v>
      </c>
      <c r="G46" s="72">
        <f>-ROUND(('ІІ. Розр. з бюджетом'!G30),0)</f>
        <v>-1200</v>
      </c>
      <c r="H46" s="72">
        <f>-ROUND(('ІІ. Розр. з бюджетом'!H30),0)</f>
        <v>-1060</v>
      </c>
      <c r="I46" s="72">
        <f>-ROUND(('ІІ. Розр. з бюджетом'!I30),0)</f>
        <v>-939</v>
      </c>
      <c r="J46" s="72">
        <f>-ROUND(('ІІ. Розр. з бюджетом'!J30),0)</f>
        <v>-867</v>
      </c>
    </row>
    <row r="47" spans="1:10" ht="37.5">
      <c r="A47" s="143" t="s">
        <v>315</v>
      </c>
      <c r="B47" s="126" t="s">
        <v>722</v>
      </c>
      <c r="C47" s="72" t="s">
        <v>251</v>
      </c>
      <c r="D47" s="72" t="s">
        <v>251</v>
      </c>
      <c r="E47" s="72"/>
      <c r="F47" s="72">
        <f t="shared" si="8"/>
        <v>0</v>
      </c>
      <c r="G47" s="72" t="s">
        <v>251</v>
      </c>
      <c r="H47" s="72" t="s">
        <v>251</v>
      </c>
      <c r="I47" s="72" t="s">
        <v>251</v>
      </c>
      <c r="J47" s="72" t="s">
        <v>251</v>
      </c>
    </row>
    <row r="48" spans="1:10" ht="20.100000000000001" customHeight="1">
      <c r="A48" s="143" t="s">
        <v>93</v>
      </c>
      <c r="B48" s="126">
        <v>3157</v>
      </c>
      <c r="C48" s="95">
        <f>SUM(C49:C53)</f>
        <v>-2100.2000000000003</v>
      </c>
      <c r="D48" s="95">
        <f>SUM(D49:D53)</f>
        <v>-2829</v>
      </c>
      <c r="E48" s="95">
        <f>SUM(E49:E53)</f>
        <v>-2430</v>
      </c>
      <c r="F48" s="79">
        <f t="shared" si="8"/>
        <v>-2563</v>
      </c>
      <c r="G48" s="95">
        <f>SUM(G49:G53)</f>
        <v>-850</v>
      </c>
      <c r="H48" s="95">
        <f>SUM(H49:H53)</f>
        <v>-615</v>
      </c>
      <c r="I48" s="95">
        <f>SUM(I49:I53)</f>
        <v>-597</v>
      </c>
      <c r="J48" s="95">
        <f>SUM(J49:J53)</f>
        <v>-501</v>
      </c>
    </row>
    <row r="49" spans="1:11" ht="20.100000000000001" customHeight="1">
      <c r="A49" s="143" t="s">
        <v>463</v>
      </c>
      <c r="B49" s="126" t="s">
        <v>723</v>
      </c>
      <c r="C49" s="72">
        <v>-1266.5999999999999</v>
      </c>
      <c r="D49" s="72">
        <f>-'ІІ. Розр. з бюджетом'!D36</f>
        <v>-1489</v>
      </c>
      <c r="E49" s="72">
        <f>-'ІІ. Розр. з бюджетом'!E36</f>
        <v>-1277</v>
      </c>
      <c r="F49" s="72">
        <f t="shared" si="8"/>
        <v>-1592</v>
      </c>
      <c r="G49" s="72">
        <f>-'ІІ. Розр. з бюджетом'!G36</f>
        <v>-384</v>
      </c>
      <c r="H49" s="72">
        <f>-'ІІ. Розр. з бюджетом'!H36</f>
        <v>-417</v>
      </c>
      <c r="I49" s="72">
        <f>-'ІІ. Розр. з бюджетом'!I36</f>
        <v>-399</v>
      </c>
      <c r="J49" s="72">
        <f>-'ІІ. Розр. з бюджетом'!J36</f>
        <v>-392</v>
      </c>
    </row>
    <row r="50" spans="1:11" ht="20.100000000000001" customHeight="1">
      <c r="A50" s="143" t="s">
        <v>464</v>
      </c>
      <c r="B50" s="126" t="s">
        <v>724</v>
      </c>
      <c r="C50" s="72">
        <v>-388</v>
      </c>
      <c r="D50" s="72">
        <f>-'ІІ. Розр. з бюджетом'!D35</f>
        <v>-721</v>
      </c>
      <c r="E50" s="72">
        <f>-'ІІ. Розр. з бюджетом'!E35</f>
        <v>-556</v>
      </c>
      <c r="F50" s="72">
        <f t="shared" si="8"/>
        <v>-351</v>
      </c>
      <c r="G50" s="72">
        <f>-'ІІ. Розр. з бюджетом'!G35</f>
        <v>-110</v>
      </c>
      <c r="H50" s="72">
        <f>-'ІІ. Розр. з бюджетом'!H35</f>
        <v>-110</v>
      </c>
      <c r="I50" s="72">
        <f>-'ІІ. Розр. з бюджетом'!I35</f>
        <v>-110</v>
      </c>
      <c r="J50" s="72">
        <f>-'ІІ. Розр. з бюджетом'!J35</f>
        <v>-21</v>
      </c>
    </row>
    <row r="51" spans="1:11" ht="20.100000000000001" customHeight="1">
      <c r="A51" s="143" t="s">
        <v>517</v>
      </c>
      <c r="B51" s="126" t="s">
        <v>725</v>
      </c>
      <c r="C51" s="72">
        <v>-443.3</v>
      </c>
      <c r="D51" s="72">
        <f>-'ІІ. Розр. з бюджетом'!D40</f>
        <v>-466</v>
      </c>
      <c r="E51" s="72">
        <f>-'ІІ. Розр. з бюджетом'!E40</f>
        <v>-400</v>
      </c>
      <c r="F51" s="72">
        <f t="shared" si="8"/>
        <v>-394</v>
      </c>
      <c r="G51" s="72">
        <f>-'ІІ. Розр. з бюджетом'!G40</f>
        <v>-130</v>
      </c>
      <c r="H51" s="72">
        <f>-'ІІ. Розр. з бюджетом'!H40</f>
        <v>-88</v>
      </c>
      <c r="I51" s="72">
        <f>-'ІІ. Розр. з бюджетом'!I40</f>
        <v>-88</v>
      </c>
      <c r="J51" s="72">
        <f>-'ІІ. Розр. з бюджетом'!J40</f>
        <v>-88</v>
      </c>
    </row>
    <row r="52" spans="1:11" ht="20.100000000000001" customHeight="1">
      <c r="A52" s="143" t="s">
        <v>465</v>
      </c>
      <c r="B52" s="126" t="s">
        <v>726</v>
      </c>
      <c r="C52" s="72">
        <v>-0.8</v>
      </c>
      <c r="D52" s="72">
        <f>-'ІІ. Розр. з бюджетом'!D39</f>
        <v>-143</v>
      </c>
      <c r="E52" s="72">
        <f>-'ІІ. Розр. з бюджетом'!E39</f>
        <v>-179</v>
      </c>
      <c r="F52" s="72">
        <f t="shared" si="8"/>
        <v>-172</v>
      </c>
      <c r="G52" s="72">
        <f>-'ІІ. Розр. з бюджетом'!G39</f>
        <v>-172</v>
      </c>
      <c r="H52" s="72">
        <f>-'ІІ. Розр. з бюджетом'!H39</f>
        <v>0</v>
      </c>
      <c r="I52" s="72">
        <f>-'ІІ. Розр. з бюджетом'!I39</f>
        <v>0</v>
      </c>
      <c r="J52" s="72">
        <f>-'ІІ. Розр. з бюджетом'!J39</f>
        <v>0</v>
      </c>
    </row>
    <row r="53" spans="1:11" ht="20.100000000000001" customHeight="1">
      <c r="A53" s="143" t="s">
        <v>529</v>
      </c>
      <c r="B53" s="126" t="s">
        <v>727</v>
      </c>
      <c r="C53" s="72">
        <v>-1.5</v>
      </c>
      <c r="D53" s="72">
        <f>-'ІІ. Розр. з бюджетом'!D41</f>
        <v>-10</v>
      </c>
      <c r="E53" s="72">
        <f>-'ІІ. Розр. з бюджетом'!E41</f>
        <v>-18</v>
      </c>
      <c r="F53" s="72">
        <f t="shared" si="8"/>
        <v>-54</v>
      </c>
      <c r="G53" s="72">
        <f>-'ІІ. Розр. з бюджетом'!G41</f>
        <v>-54</v>
      </c>
      <c r="H53" s="72">
        <f>-'ІІ. Розр. з бюджетом'!H41</f>
        <v>0</v>
      </c>
      <c r="I53" s="72">
        <f>-'ІІ. Розр. з бюджетом'!I41</f>
        <v>0</v>
      </c>
      <c r="J53" s="72">
        <f>-'ІІ. Розр. з бюджетом'!J41</f>
        <v>0</v>
      </c>
    </row>
    <row r="54" spans="1:11" ht="20.100000000000001" customHeight="1">
      <c r="A54" s="143" t="s">
        <v>316</v>
      </c>
      <c r="B54" s="144">
        <v>3160</v>
      </c>
      <c r="C54" s="72" t="s">
        <v>251</v>
      </c>
      <c r="D54" s="72"/>
      <c r="E54" s="72" t="s">
        <v>251</v>
      </c>
      <c r="F54" s="72">
        <f t="shared" si="8"/>
        <v>0</v>
      </c>
      <c r="G54" s="72" t="s">
        <v>251</v>
      </c>
      <c r="H54" s="72" t="s">
        <v>251</v>
      </c>
      <c r="I54" s="72" t="s">
        <v>251</v>
      </c>
      <c r="J54" s="72" t="s">
        <v>251</v>
      </c>
    </row>
    <row r="55" spans="1:11" ht="20.100000000000001" customHeight="1">
      <c r="A55" s="143" t="s">
        <v>390</v>
      </c>
      <c r="B55" s="144">
        <v>3170</v>
      </c>
      <c r="C55" s="72">
        <f>SUM(C56:C60)</f>
        <v>-38599</v>
      </c>
      <c r="D55" s="72">
        <f>SUM(D56:D60)</f>
        <v>-9383</v>
      </c>
      <c r="E55" s="72">
        <f>SUM(E56:E60)</f>
        <v>-13473</v>
      </c>
      <c r="F55" s="72">
        <f t="shared" si="8"/>
        <v>-11718</v>
      </c>
      <c r="G55" s="72">
        <f>SUM(G56:G60)</f>
        <v>-2834</v>
      </c>
      <c r="H55" s="72">
        <f>SUM(H56:H60)</f>
        <v>-2995</v>
      </c>
      <c r="I55" s="72">
        <f>SUM(I56:I60)</f>
        <v>-2984</v>
      </c>
      <c r="J55" s="72">
        <f>SUM(J56:J60)</f>
        <v>-2905</v>
      </c>
    </row>
    <row r="56" spans="1:11" ht="20.100000000000001" customHeight="1">
      <c r="A56" s="143" t="s">
        <v>629</v>
      </c>
      <c r="B56" s="144" t="s">
        <v>630</v>
      </c>
      <c r="C56" s="72">
        <v>-5563.9</v>
      </c>
      <c r="D56" s="72">
        <v>-6983</v>
      </c>
      <c r="E56" s="72">
        <v>-5781</v>
      </c>
      <c r="F56" s="72">
        <f t="shared" si="8"/>
        <v>-7466</v>
      </c>
      <c r="G56" s="72">
        <f>'I. Фін результат'!G96</f>
        <v>-1771</v>
      </c>
      <c r="H56" s="72">
        <f>'I. Фін результат'!H96</f>
        <v>-1932</v>
      </c>
      <c r="I56" s="72">
        <f>'I. Фін результат'!I96</f>
        <v>-1921</v>
      </c>
      <c r="J56" s="72">
        <f>'I. Фін результат'!J96</f>
        <v>-1842</v>
      </c>
    </row>
    <row r="57" spans="1:11" ht="20.100000000000001" customHeight="1">
      <c r="A57" s="143" t="s">
        <v>510</v>
      </c>
      <c r="B57" s="144" t="s">
        <v>631</v>
      </c>
      <c r="C57" s="72">
        <v>-2889.1</v>
      </c>
      <c r="D57" s="72">
        <v>-1700</v>
      </c>
      <c r="E57" s="72">
        <v>-2874</v>
      </c>
      <c r="F57" s="72">
        <f>SUM(G57:J57)</f>
        <v>-2252</v>
      </c>
      <c r="G57" s="72">
        <v>-563</v>
      </c>
      <c r="H57" s="72">
        <v>-563</v>
      </c>
      <c r="I57" s="72">
        <v>-563</v>
      </c>
      <c r="J57" s="72">
        <v>-563</v>
      </c>
    </row>
    <row r="58" spans="1:11" ht="20.100000000000001" customHeight="1">
      <c r="A58" s="143" t="s">
        <v>518</v>
      </c>
      <c r="B58" s="144" t="s">
        <v>632</v>
      </c>
      <c r="C58" s="72">
        <v>-30124</v>
      </c>
      <c r="D58" s="72"/>
      <c r="E58" s="72"/>
      <c r="F58" s="72">
        <f t="shared" ref="F58:F59" si="9">SUM(G58:J58)</f>
        <v>0</v>
      </c>
      <c r="G58" s="72"/>
      <c r="H58" s="72"/>
      <c r="I58" s="72"/>
      <c r="J58" s="72"/>
    </row>
    <row r="59" spans="1:11" ht="20.100000000000001" customHeight="1">
      <c r="A59" s="143" t="s">
        <v>526</v>
      </c>
      <c r="B59" s="144" t="s">
        <v>633</v>
      </c>
      <c r="C59" s="72"/>
      <c r="D59" s="72">
        <v>-200</v>
      </c>
      <c r="E59" s="72"/>
      <c r="F59" s="72">
        <f t="shared" si="9"/>
        <v>0</v>
      </c>
      <c r="G59" s="72"/>
      <c r="H59" s="72"/>
      <c r="I59" s="72"/>
      <c r="J59" s="72"/>
    </row>
    <row r="60" spans="1:11" ht="20.100000000000001" customHeight="1">
      <c r="A60" s="143" t="s">
        <v>470</v>
      </c>
      <c r="B60" s="144" t="s">
        <v>656</v>
      </c>
      <c r="C60" s="72">
        <v>-22</v>
      </c>
      <c r="D60" s="72">
        <v>-500</v>
      </c>
      <c r="E60" s="72">
        <v>-4818</v>
      </c>
      <c r="F60" s="72">
        <f t="shared" si="8"/>
        <v>-2000</v>
      </c>
      <c r="G60" s="72">
        <v>-500</v>
      </c>
      <c r="H60" s="72">
        <v>-500</v>
      </c>
      <c r="I60" s="72">
        <v>-500</v>
      </c>
      <c r="J60" s="72">
        <v>-500</v>
      </c>
    </row>
    <row r="61" spans="1:11" ht="20.100000000000001" customHeight="1">
      <c r="A61" s="176" t="s">
        <v>265</v>
      </c>
      <c r="B61" s="177">
        <v>3195</v>
      </c>
      <c r="C61" s="79">
        <f>SUM(C7,C26)</f>
        <v>16166.799999999988</v>
      </c>
      <c r="D61" s="79">
        <f>SUM(D7,D26)</f>
        <v>100518</v>
      </c>
      <c r="E61" s="79">
        <f>SUM(E7,E26)</f>
        <v>19427</v>
      </c>
      <c r="F61" s="79">
        <f>SUM(G61:J61)</f>
        <v>-8074</v>
      </c>
      <c r="G61" s="79">
        <f>SUM(G7,G26)</f>
        <v>10276</v>
      </c>
      <c r="H61" s="79">
        <f>SUM(H7,H26)</f>
        <v>1081</v>
      </c>
      <c r="I61" s="79">
        <f>SUM(I7,I26)</f>
        <v>-16965</v>
      </c>
      <c r="J61" s="79">
        <f>SUM(J7,J26)</f>
        <v>-2466</v>
      </c>
      <c r="K61" s="57"/>
    </row>
    <row r="62" spans="1:11" ht="20.100000000000001" customHeight="1">
      <c r="A62" s="207" t="s">
        <v>145</v>
      </c>
      <c r="B62" s="207"/>
      <c r="C62" s="211"/>
      <c r="D62" s="96"/>
      <c r="E62" s="96"/>
      <c r="F62" s="96"/>
      <c r="G62" s="96"/>
      <c r="H62" s="96"/>
      <c r="I62" s="96"/>
      <c r="J62" s="97"/>
    </row>
    <row r="63" spans="1:11" ht="20.100000000000001" customHeight="1">
      <c r="A63" s="209" t="s">
        <v>317</v>
      </c>
      <c r="B63" s="210">
        <v>3200</v>
      </c>
      <c r="C63" s="79">
        <f>SUM(C64:C70)</f>
        <v>0</v>
      </c>
      <c r="D63" s="79">
        <f>SUM(D64:D70)</f>
        <v>0</v>
      </c>
      <c r="E63" s="79">
        <f>E70</f>
        <v>42979</v>
      </c>
      <c r="F63" s="79">
        <f t="shared" si="8"/>
        <v>33768</v>
      </c>
      <c r="G63" s="79">
        <f>SUM(G64:G70)</f>
        <v>0</v>
      </c>
      <c r="H63" s="79">
        <f>SUM(H64:H70)</f>
        <v>3574</v>
      </c>
      <c r="I63" s="79">
        <f>SUM(I64:I70)</f>
        <v>15955</v>
      </c>
      <c r="J63" s="79">
        <f>SUM(J64:J70)</f>
        <v>14239</v>
      </c>
    </row>
    <row r="64" spans="1:11" ht="20.100000000000001" customHeight="1">
      <c r="A64" s="143" t="s">
        <v>728</v>
      </c>
      <c r="B64" s="126">
        <v>3210</v>
      </c>
      <c r="C64" s="72"/>
      <c r="D64" s="72"/>
      <c r="E64" s="72"/>
      <c r="F64" s="72">
        <f t="shared" si="8"/>
        <v>0</v>
      </c>
      <c r="G64" s="72"/>
      <c r="H64" s="72"/>
      <c r="I64" s="72"/>
      <c r="J64" s="72"/>
    </row>
    <row r="65" spans="1:11" ht="20.100000000000001" customHeight="1">
      <c r="A65" s="143" t="s">
        <v>52</v>
      </c>
      <c r="B65" s="144">
        <v>3215</v>
      </c>
      <c r="C65" s="72"/>
      <c r="D65" s="72"/>
      <c r="E65" s="72"/>
      <c r="F65" s="72">
        <f>SUM(G65:J65)</f>
        <v>0</v>
      </c>
      <c r="G65" s="72"/>
      <c r="H65" s="72"/>
      <c r="I65" s="72"/>
      <c r="J65" s="72"/>
    </row>
    <row r="66" spans="1:11" ht="16.5" customHeight="1">
      <c r="A66" s="143" t="s">
        <v>318</v>
      </c>
      <c r="B66" s="144">
        <v>3220</v>
      </c>
      <c r="C66" s="72"/>
      <c r="D66" s="72"/>
      <c r="E66" s="72"/>
      <c r="F66" s="72">
        <f t="shared" si="8"/>
        <v>0</v>
      </c>
      <c r="G66" s="72"/>
      <c r="H66" s="72"/>
      <c r="I66" s="72"/>
      <c r="J66" s="72"/>
    </row>
    <row r="67" spans="1:11" ht="16.5" customHeight="1">
      <c r="A67" s="143" t="s">
        <v>729</v>
      </c>
      <c r="B67" s="144">
        <v>3225</v>
      </c>
      <c r="C67" s="72"/>
      <c r="D67" s="72"/>
      <c r="E67" s="72"/>
      <c r="F67" s="72"/>
      <c r="G67" s="72"/>
      <c r="H67" s="72"/>
      <c r="I67" s="72"/>
      <c r="J67" s="72"/>
    </row>
    <row r="68" spans="1:11" ht="16.5" customHeight="1">
      <c r="A68" s="143" t="s">
        <v>730</v>
      </c>
      <c r="B68" s="144">
        <v>3230</v>
      </c>
      <c r="C68" s="72"/>
      <c r="D68" s="72"/>
      <c r="E68" s="72"/>
      <c r="F68" s="72"/>
      <c r="G68" s="72"/>
      <c r="H68" s="72"/>
      <c r="I68" s="72"/>
      <c r="J68" s="72"/>
    </row>
    <row r="69" spans="1:11" ht="16.5" customHeight="1">
      <c r="A69" s="143" t="s">
        <v>731</v>
      </c>
      <c r="B69" s="144">
        <v>3235</v>
      </c>
      <c r="C69" s="72"/>
      <c r="D69" s="72"/>
      <c r="E69" s="72"/>
      <c r="F69" s="72"/>
      <c r="G69" s="72"/>
      <c r="H69" s="72"/>
      <c r="I69" s="72"/>
      <c r="J69" s="72"/>
    </row>
    <row r="70" spans="1:11" ht="20.100000000000001" customHeight="1">
      <c r="A70" s="143" t="s">
        <v>393</v>
      </c>
      <c r="B70" s="144">
        <v>3240</v>
      </c>
      <c r="C70" s="72"/>
      <c r="D70" s="72"/>
      <c r="E70" s="72">
        <f>SUM(E71:E72)</f>
        <v>42979</v>
      </c>
      <c r="F70" s="72">
        <f t="shared" si="8"/>
        <v>33768</v>
      </c>
      <c r="G70" s="72">
        <f t="shared" ref="G70:J70" si="10">SUM(G71:G72)</f>
        <v>0</v>
      </c>
      <c r="H70" s="72">
        <f t="shared" si="10"/>
        <v>3574</v>
      </c>
      <c r="I70" s="72">
        <f t="shared" si="10"/>
        <v>15955</v>
      </c>
      <c r="J70" s="72">
        <f t="shared" si="10"/>
        <v>14239</v>
      </c>
    </row>
    <row r="71" spans="1:11" ht="20.100000000000001" customHeight="1">
      <c r="A71" s="143" t="s">
        <v>587</v>
      </c>
      <c r="B71" s="144" t="s">
        <v>697</v>
      </c>
      <c r="C71" s="72"/>
      <c r="D71" s="72"/>
      <c r="E71" s="72">
        <v>42958</v>
      </c>
      <c r="F71" s="72">
        <f t="shared" si="8"/>
        <v>33736</v>
      </c>
      <c r="G71" s="72"/>
      <c r="H71" s="72">
        <f>52709-H21</f>
        <v>3558</v>
      </c>
      <c r="I71" s="72">
        <f>57919-I21</f>
        <v>15947</v>
      </c>
      <c r="J71" s="72">
        <f>59394-J21</f>
        <v>14231</v>
      </c>
    </row>
    <row r="72" spans="1:11" ht="20.100000000000001" customHeight="1">
      <c r="A72" s="143" t="s">
        <v>699</v>
      </c>
      <c r="B72" s="144" t="s">
        <v>698</v>
      </c>
      <c r="C72" s="72"/>
      <c r="D72" s="72"/>
      <c r="E72" s="72">
        <v>21</v>
      </c>
      <c r="F72" s="72">
        <f t="shared" si="8"/>
        <v>32</v>
      </c>
      <c r="G72" s="72"/>
      <c r="H72" s="72">
        <v>16</v>
      </c>
      <c r="I72" s="72">
        <v>8</v>
      </c>
      <c r="J72" s="72">
        <v>8</v>
      </c>
    </row>
    <row r="73" spans="1:11" ht="20.100000000000001" customHeight="1">
      <c r="A73" s="176" t="s">
        <v>319</v>
      </c>
      <c r="B73" s="177">
        <v>3255</v>
      </c>
      <c r="C73" s="95">
        <f>C77+C101+C121+C125</f>
        <v>-21010.999999999993</v>
      </c>
      <c r="D73" s="79">
        <f>D77+D101+D121+D125</f>
        <v>-60761</v>
      </c>
      <c r="E73" s="79">
        <f>E77+E101+E121+E125</f>
        <v>-18482</v>
      </c>
      <c r="F73" s="79">
        <f>SUM(G73:J73)</f>
        <v>-44676</v>
      </c>
      <c r="G73" s="79">
        <f>G77+G101+G121+G125</f>
        <v>-3040</v>
      </c>
      <c r="H73" s="79">
        <f>H77+H101+H121+H125</f>
        <v>-10053</v>
      </c>
      <c r="I73" s="79">
        <f>I77+I101+I121+I125</f>
        <v>-13822</v>
      </c>
      <c r="J73" s="79">
        <f>J77+J101+J121+J125</f>
        <v>-17761</v>
      </c>
      <c r="K73" s="55"/>
    </row>
    <row r="74" spans="1:11" ht="20.100000000000001" customHeight="1">
      <c r="A74" s="143" t="s">
        <v>732</v>
      </c>
      <c r="B74" s="144">
        <v>3260</v>
      </c>
      <c r="C74" s="95"/>
      <c r="D74" s="79"/>
      <c r="E74" s="79"/>
      <c r="F74" s="79"/>
      <c r="G74" s="79"/>
      <c r="H74" s="79"/>
      <c r="I74" s="79"/>
      <c r="J74" s="79"/>
      <c r="K74" s="55"/>
    </row>
    <row r="75" spans="1:11" ht="20.100000000000001" customHeight="1">
      <c r="A75" s="143" t="s">
        <v>733</v>
      </c>
      <c r="B75" s="144">
        <v>3265</v>
      </c>
      <c r="C75" s="95"/>
      <c r="D75" s="79"/>
      <c r="E75" s="79"/>
      <c r="F75" s="79"/>
      <c r="G75" s="79"/>
      <c r="H75" s="79"/>
      <c r="I75" s="79"/>
      <c r="J75" s="79"/>
      <c r="K75" s="55"/>
    </row>
    <row r="76" spans="1:11" ht="20.100000000000001" customHeight="1">
      <c r="A76" s="176" t="s">
        <v>734</v>
      </c>
      <c r="B76" s="177">
        <v>3270</v>
      </c>
      <c r="C76" s="95">
        <f t="shared" ref="C76:J76" si="11">C77+C101+C121+C125</f>
        <v>-21010.999999999993</v>
      </c>
      <c r="D76" s="79">
        <f t="shared" si="11"/>
        <v>-60761</v>
      </c>
      <c r="E76" s="79">
        <f t="shared" si="11"/>
        <v>-18482</v>
      </c>
      <c r="F76" s="79">
        <f t="shared" si="11"/>
        <v>-44676</v>
      </c>
      <c r="G76" s="79">
        <f t="shared" si="11"/>
        <v>-3040</v>
      </c>
      <c r="H76" s="79">
        <f t="shared" si="11"/>
        <v>-10053</v>
      </c>
      <c r="I76" s="79">
        <f t="shared" si="11"/>
        <v>-13822</v>
      </c>
      <c r="J76" s="79">
        <f t="shared" si="11"/>
        <v>-17761</v>
      </c>
      <c r="K76" s="55"/>
    </row>
    <row r="77" spans="1:11" ht="20.100000000000001" customHeight="1">
      <c r="A77" s="176" t="s">
        <v>520</v>
      </c>
      <c r="B77" s="177" t="s">
        <v>453</v>
      </c>
      <c r="C77" s="95">
        <f>SUM(C78:C100)</f>
        <v>-17786.799999999996</v>
      </c>
      <c r="D77" s="79">
        <f>SUM(D78:D100)</f>
        <v>-26453</v>
      </c>
      <c r="E77" s="79">
        <f>SUM(E78:E100)</f>
        <v>-15755</v>
      </c>
      <c r="F77" s="79">
        <f>SUM(G77:J77)</f>
        <v>-22710</v>
      </c>
      <c r="G77" s="79">
        <f>SUM(G78:G100)</f>
        <v>-1693</v>
      </c>
      <c r="H77" s="79">
        <f>SUM(H78:H100)</f>
        <v>-8939</v>
      </c>
      <c r="I77" s="79">
        <f>SUM(I78:I100)</f>
        <v>-2748</v>
      </c>
      <c r="J77" s="79">
        <f>SUM(J78:J100)</f>
        <v>-9330</v>
      </c>
    </row>
    <row r="78" spans="1:11" outlineLevel="1">
      <c r="A78" s="212" t="s">
        <v>662</v>
      </c>
      <c r="B78" s="144" t="s">
        <v>735</v>
      </c>
      <c r="C78" s="72">
        <v>-2534</v>
      </c>
      <c r="D78" s="72">
        <v>-120</v>
      </c>
      <c r="E78" s="72">
        <v>-186</v>
      </c>
      <c r="F78" s="72">
        <f>SUM(G78:J78)</f>
        <v>-217</v>
      </c>
      <c r="G78" s="72"/>
      <c r="H78" s="72">
        <v>-217</v>
      </c>
      <c r="I78" s="72"/>
      <c r="J78" s="72"/>
    </row>
    <row r="79" spans="1:11" ht="92.25" customHeight="1" outlineLevel="1">
      <c r="A79" s="213" t="s">
        <v>571</v>
      </c>
      <c r="B79" s="144" t="s">
        <v>736</v>
      </c>
      <c r="C79" s="101">
        <v>-54</v>
      </c>
      <c r="D79" s="72">
        <v>-135</v>
      </c>
      <c r="E79" s="72">
        <v>-132</v>
      </c>
      <c r="F79" s="72">
        <f t="shared" ref="F79:F100" si="12">SUM(G79:J79)</f>
        <v>0</v>
      </c>
      <c r="G79" s="72"/>
      <c r="H79" s="72"/>
      <c r="I79" s="72"/>
      <c r="J79" s="72"/>
    </row>
    <row r="80" spans="1:11" ht="87" customHeight="1" outlineLevel="1">
      <c r="A80" s="213" t="s">
        <v>572</v>
      </c>
      <c r="B80" s="144" t="s">
        <v>737</v>
      </c>
      <c r="C80" s="101"/>
      <c r="D80" s="72">
        <v>-5020</v>
      </c>
      <c r="E80" s="72"/>
      <c r="F80" s="72">
        <f t="shared" si="12"/>
        <v>-8195</v>
      </c>
      <c r="G80" s="72"/>
      <c r="H80" s="72">
        <v>-4097</v>
      </c>
      <c r="I80" s="72"/>
      <c r="J80" s="72">
        <v>-4098</v>
      </c>
    </row>
    <row r="81" spans="1:10" ht="45" customHeight="1" outlineLevel="1">
      <c r="A81" s="213" t="s">
        <v>683</v>
      </c>
      <c r="B81" s="144" t="s">
        <v>738</v>
      </c>
      <c r="C81" s="101"/>
      <c r="D81" s="72"/>
      <c r="E81" s="72"/>
      <c r="F81" s="72">
        <f t="shared" si="12"/>
        <v>-5</v>
      </c>
      <c r="G81" s="72">
        <v>-5</v>
      </c>
      <c r="H81" s="72"/>
      <c r="I81" s="72"/>
      <c r="J81" s="72"/>
    </row>
    <row r="82" spans="1:10" ht="72" customHeight="1" outlineLevel="1">
      <c r="A82" s="213" t="s">
        <v>673</v>
      </c>
      <c r="B82" s="144" t="s">
        <v>739</v>
      </c>
      <c r="C82" s="101"/>
      <c r="D82" s="72"/>
      <c r="E82" s="72"/>
      <c r="F82" s="72">
        <f t="shared" si="12"/>
        <v>-8557</v>
      </c>
      <c r="G82" s="72"/>
      <c r="H82" s="72">
        <v>-4278</v>
      </c>
      <c r="I82" s="199"/>
      <c r="J82" s="72">
        <v>-4279</v>
      </c>
    </row>
    <row r="83" spans="1:10" ht="52.5" customHeight="1" outlineLevel="1">
      <c r="A83" s="214" t="s">
        <v>606</v>
      </c>
      <c r="B83" s="144" t="s">
        <v>740</v>
      </c>
      <c r="C83" s="103">
        <v>-174.6</v>
      </c>
      <c r="D83" s="215"/>
      <c r="E83" s="72"/>
      <c r="F83" s="72">
        <f t="shared" si="12"/>
        <v>0</v>
      </c>
      <c r="G83" s="72"/>
      <c r="H83" s="72"/>
      <c r="I83" s="72"/>
      <c r="J83" s="72"/>
    </row>
    <row r="84" spans="1:10" ht="57.75" customHeight="1" outlineLevel="1">
      <c r="A84" s="214" t="s">
        <v>581</v>
      </c>
      <c r="B84" s="144" t="s">
        <v>741</v>
      </c>
      <c r="C84" s="72">
        <v>-194</v>
      </c>
      <c r="D84" s="215"/>
      <c r="E84" s="72"/>
      <c r="F84" s="72">
        <f t="shared" si="12"/>
        <v>0</v>
      </c>
      <c r="G84" s="72"/>
      <c r="H84" s="72"/>
      <c r="I84" s="72"/>
      <c r="J84" s="72"/>
    </row>
    <row r="85" spans="1:10" ht="63.75" customHeight="1" outlineLevel="1">
      <c r="A85" s="214" t="s">
        <v>582</v>
      </c>
      <c r="B85" s="144" t="s">
        <v>742</v>
      </c>
      <c r="C85" s="72">
        <v>-2367</v>
      </c>
      <c r="D85" s="72">
        <v>-4820</v>
      </c>
      <c r="E85" s="72">
        <v>-2416</v>
      </c>
      <c r="F85" s="72">
        <f t="shared" si="12"/>
        <v>0</v>
      </c>
      <c r="G85" s="72"/>
      <c r="H85" s="72"/>
      <c r="I85" s="72"/>
      <c r="J85" s="72"/>
    </row>
    <row r="86" spans="1:10" ht="63.75" customHeight="1" outlineLevel="1">
      <c r="A86" s="216" t="s">
        <v>544</v>
      </c>
      <c r="B86" s="144" t="s">
        <v>743</v>
      </c>
      <c r="C86" s="217"/>
      <c r="D86" s="72">
        <v>-4936</v>
      </c>
      <c r="E86" s="72">
        <v>-4852</v>
      </c>
      <c r="F86" s="72">
        <f>SUM(G86:J86)</f>
        <v>0</v>
      </c>
      <c r="G86" s="72"/>
      <c r="H86" s="72"/>
      <c r="I86" s="72"/>
      <c r="J86" s="72"/>
    </row>
    <row r="87" spans="1:10" outlineLevel="1">
      <c r="A87" s="216" t="s">
        <v>660</v>
      </c>
      <c r="B87" s="144" t="s">
        <v>744</v>
      </c>
      <c r="C87" s="217"/>
      <c r="D87" s="72">
        <v>-1863</v>
      </c>
      <c r="E87" s="72"/>
      <c r="F87" s="72">
        <f>SUM(G87:J87)</f>
        <v>-1647</v>
      </c>
      <c r="G87" s="72">
        <v>-1647</v>
      </c>
      <c r="H87" s="72"/>
      <c r="I87" s="72"/>
      <c r="J87" s="72"/>
    </row>
    <row r="88" spans="1:10" ht="21.75" customHeight="1" outlineLevel="1">
      <c r="A88" s="136" t="s">
        <v>467</v>
      </c>
      <c r="B88" s="144" t="s">
        <v>745</v>
      </c>
      <c r="C88" s="102">
        <v>-925.2</v>
      </c>
      <c r="D88" s="72">
        <v>-3896</v>
      </c>
      <c r="E88" s="72">
        <v>-3721</v>
      </c>
      <c r="F88" s="72">
        <f t="shared" si="12"/>
        <v>-957</v>
      </c>
      <c r="G88" s="72"/>
      <c r="H88" s="72"/>
      <c r="I88" s="72">
        <v>-957</v>
      </c>
      <c r="J88" s="72"/>
    </row>
    <row r="89" spans="1:10" outlineLevel="1">
      <c r="A89" s="218" t="s">
        <v>558</v>
      </c>
      <c r="B89" s="144" t="s">
        <v>746</v>
      </c>
      <c r="C89" s="72">
        <v>-168</v>
      </c>
      <c r="D89" s="72"/>
      <c r="E89" s="72"/>
      <c r="F89" s="72">
        <f t="shared" si="12"/>
        <v>0</v>
      </c>
      <c r="G89" s="72"/>
      <c r="H89" s="72"/>
      <c r="I89" s="72"/>
      <c r="J89" s="72"/>
    </row>
    <row r="90" spans="1:10" ht="37.5" outlineLevel="1">
      <c r="A90" s="219" t="s">
        <v>472</v>
      </c>
      <c r="B90" s="144" t="s">
        <v>747</v>
      </c>
      <c r="C90" s="72">
        <v>-3712</v>
      </c>
      <c r="D90" s="72"/>
      <c r="E90" s="72"/>
      <c r="F90" s="72">
        <f t="shared" si="12"/>
        <v>0</v>
      </c>
      <c r="G90" s="72"/>
      <c r="H90" s="72"/>
      <c r="I90" s="72"/>
      <c r="J90" s="72"/>
    </row>
    <row r="91" spans="1:10" outlineLevel="1">
      <c r="A91" s="220" t="s">
        <v>578</v>
      </c>
      <c r="B91" s="144" t="s">
        <v>748</v>
      </c>
      <c r="C91" s="72"/>
      <c r="D91" s="72">
        <v>-788</v>
      </c>
      <c r="E91" s="72">
        <v>-270</v>
      </c>
      <c r="F91" s="72">
        <f t="shared" si="12"/>
        <v>-1041</v>
      </c>
      <c r="G91" s="72"/>
      <c r="H91" s="72">
        <v>-300</v>
      </c>
      <c r="I91" s="72">
        <v>-141</v>
      </c>
      <c r="J91" s="72">
        <v>-600</v>
      </c>
    </row>
    <row r="92" spans="1:10" outlineLevel="1">
      <c r="A92" s="220" t="s">
        <v>577</v>
      </c>
      <c r="B92" s="144" t="s">
        <v>749</v>
      </c>
      <c r="C92" s="72">
        <v>-552.5</v>
      </c>
      <c r="D92" s="72">
        <v>-2885</v>
      </c>
      <c r="E92" s="72">
        <v>-2809</v>
      </c>
      <c r="F92" s="72">
        <f t="shared" si="12"/>
        <v>-690</v>
      </c>
      <c r="G92" s="72"/>
      <c r="H92" s="72"/>
      <c r="I92" s="72">
        <v>-625</v>
      </c>
      <c r="J92" s="72">
        <v>-65</v>
      </c>
    </row>
    <row r="93" spans="1:10" outlineLevel="1">
      <c r="A93" s="220" t="s">
        <v>489</v>
      </c>
      <c r="B93" s="144" t="s">
        <v>750</v>
      </c>
      <c r="C93" s="72">
        <v>-669.5</v>
      </c>
      <c r="D93" s="72"/>
      <c r="E93" s="72"/>
      <c r="F93" s="72">
        <f t="shared" si="12"/>
        <v>0</v>
      </c>
      <c r="G93" s="72"/>
      <c r="H93" s="72"/>
      <c r="I93" s="72"/>
      <c r="J93" s="72"/>
    </row>
    <row r="94" spans="1:10" ht="48" customHeight="1" outlineLevel="1">
      <c r="A94" s="220" t="s">
        <v>468</v>
      </c>
      <c r="B94" s="144" t="s">
        <v>751</v>
      </c>
      <c r="C94" s="72">
        <v>-503</v>
      </c>
      <c r="D94" s="72">
        <v>-1990</v>
      </c>
      <c r="E94" s="72">
        <v>-1369</v>
      </c>
      <c r="F94" s="72">
        <f>SUM(G94:J94)</f>
        <v>-1401</v>
      </c>
      <c r="G94" s="72">
        <v>-41</v>
      </c>
      <c r="H94" s="72">
        <v>-47</v>
      </c>
      <c r="I94" s="72">
        <v>-1025</v>
      </c>
      <c r="J94" s="72">
        <v>-288</v>
      </c>
    </row>
    <row r="95" spans="1:10" ht="34.5" customHeight="1" outlineLevel="1">
      <c r="A95" s="220" t="s">
        <v>532</v>
      </c>
      <c r="B95" s="144" t="s">
        <v>752</v>
      </c>
      <c r="C95" s="72">
        <v>-100</v>
      </c>
      <c r="D95" s="72"/>
      <c r="E95" s="72"/>
      <c r="F95" s="72">
        <f t="shared" si="12"/>
        <v>0</v>
      </c>
      <c r="G95" s="72"/>
      <c r="H95" s="72"/>
      <c r="I95" s="72"/>
      <c r="J95" s="72"/>
    </row>
    <row r="96" spans="1:10" ht="26.25" customHeight="1" outlineLevel="1">
      <c r="A96" s="219" t="s">
        <v>545</v>
      </c>
      <c r="B96" s="144" t="s">
        <v>753</v>
      </c>
      <c r="C96" s="72">
        <v>-364</v>
      </c>
      <c r="D96" s="72"/>
      <c r="E96" s="72"/>
      <c r="F96" s="72">
        <f t="shared" si="12"/>
        <v>0</v>
      </c>
      <c r="G96" s="72"/>
      <c r="H96" s="72"/>
      <c r="I96" s="72"/>
      <c r="J96" s="72"/>
    </row>
    <row r="97" spans="1:10" outlineLevel="1">
      <c r="A97" s="219" t="s">
        <v>490</v>
      </c>
      <c r="B97" s="144" t="s">
        <v>754</v>
      </c>
      <c r="C97" s="101">
        <v>-356.3</v>
      </c>
      <c r="D97" s="101"/>
      <c r="E97" s="101"/>
      <c r="F97" s="72">
        <f t="shared" si="12"/>
        <v>0</v>
      </c>
      <c r="G97" s="72"/>
      <c r="H97" s="72"/>
      <c r="I97" s="72"/>
      <c r="J97" s="72"/>
    </row>
    <row r="98" spans="1:10" ht="18.75" customHeight="1" outlineLevel="1">
      <c r="A98" s="221" t="s">
        <v>546</v>
      </c>
      <c r="B98" s="144" t="s">
        <v>755</v>
      </c>
      <c r="C98" s="101">
        <v>-701.9</v>
      </c>
      <c r="D98" s="101"/>
      <c r="E98" s="101"/>
      <c r="F98" s="72">
        <f t="shared" si="12"/>
        <v>0</v>
      </c>
      <c r="G98" s="72"/>
      <c r="H98" s="72"/>
      <c r="I98" s="72"/>
      <c r="J98" s="72"/>
    </row>
    <row r="99" spans="1:10" ht="18.75" customHeight="1" outlineLevel="1">
      <c r="A99" s="221" t="s">
        <v>547</v>
      </c>
      <c r="B99" s="144" t="s">
        <v>756</v>
      </c>
      <c r="C99" s="101">
        <v>-1320.8</v>
      </c>
      <c r="D99" s="101"/>
      <c r="E99" s="101"/>
      <c r="F99" s="72">
        <f t="shared" si="12"/>
        <v>0</v>
      </c>
      <c r="G99" s="72"/>
      <c r="H99" s="72"/>
      <c r="I99" s="72"/>
      <c r="J99" s="72"/>
    </row>
    <row r="100" spans="1:10" ht="37.5" outlineLevel="1">
      <c r="A100" s="222" t="s">
        <v>548</v>
      </c>
      <c r="B100" s="144" t="s">
        <v>757</v>
      </c>
      <c r="C100" s="101">
        <v>-3090</v>
      </c>
      <c r="D100" s="101"/>
      <c r="E100" s="101"/>
      <c r="F100" s="72">
        <f t="shared" si="12"/>
        <v>0</v>
      </c>
      <c r="G100" s="72"/>
      <c r="H100" s="72"/>
      <c r="I100" s="72"/>
      <c r="J100" s="72"/>
    </row>
    <row r="101" spans="1:10" ht="49.5" customHeight="1">
      <c r="A101" s="176" t="s">
        <v>519</v>
      </c>
      <c r="B101" s="223" t="s">
        <v>454</v>
      </c>
      <c r="C101" s="95">
        <f>SUM(C102:C118)</f>
        <v>-1227.5999999999999</v>
      </c>
      <c r="D101" s="79">
        <f>SUM(D102:D119)</f>
        <v>-27438</v>
      </c>
      <c r="E101" s="79">
        <f>SUM(E102:E119)</f>
        <v>-666</v>
      </c>
      <c r="F101" s="79">
        <f>G101+H101+I101+J101</f>
        <v>-3868</v>
      </c>
      <c r="G101" s="79">
        <f>SUM(G102:G120)</f>
        <v>-100</v>
      </c>
      <c r="H101" s="79">
        <f>SUM(H102:H120)</f>
        <v>-476</v>
      </c>
      <c r="I101" s="79">
        <f>SUM(I102:I120)</f>
        <v>-669</v>
      </c>
      <c r="J101" s="79">
        <f>SUM(J102:J120)</f>
        <v>-2623</v>
      </c>
    </row>
    <row r="102" spans="1:10" ht="48.75" customHeight="1" outlineLevel="1">
      <c r="A102" s="224" t="s">
        <v>527</v>
      </c>
      <c r="B102" s="225" t="s">
        <v>758</v>
      </c>
      <c r="C102" s="72">
        <v>-49.7</v>
      </c>
      <c r="D102" s="226"/>
      <c r="E102" s="72"/>
      <c r="F102" s="72"/>
      <c r="G102" s="72"/>
      <c r="H102" s="72"/>
      <c r="I102" s="79"/>
      <c r="J102" s="79"/>
    </row>
    <row r="103" spans="1:10" ht="39.75" customHeight="1" outlineLevel="1">
      <c r="A103" s="227" t="s">
        <v>471</v>
      </c>
      <c r="B103" s="225" t="s">
        <v>759</v>
      </c>
      <c r="C103" s="102">
        <v>-900</v>
      </c>
      <c r="D103" s="102"/>
      <c r="E103" s="102"/>
      <c r="F103" s="72">
        <f>G103+H103+I103+J103</f>
        <v>0</v>
      </c>
      <c r="G103" s="72"/>
      <c r="H103" s="72"/>
      <c r="I103" s="72"/>
      <c r="J103" s="72"/>
    </row>
    <row r="104" spans="1:10" ht="39.75" customHeight="1" outlineLevel="1">
      <c r="A104" s="228" t="s">
        <v>584</v>
      </c>
      <c r="B104" s="225" t="s">
        <v>760</v>
      </c>
      <c r="C104" s="102">
        <v>-4.9000000000000004</v>
      </c>
      <c r="D104" s="229"/>
      <c r="E104" s="72"/>
      <c r="F104" s="72">
        <f>G104+H104+I104+J104</f>
        <v>0</v>
      </c>
      <c r="G104" s="72"/>
      <c r="H104" s="72"/>
      <c r="I104" s="72"/>
      <c r="J104" s="72"/>
    </row>
    <row r="105" spans="1:10" ht="39.75" customHeight="1" outlineLevel="1">
      <c r="A105" s="230" t="s">
        <v>583</v>
      </c>
      <c r="B105" s="225" t="s">
        <v>761</v>
      </c>
      <c r="C105" s="102"/>
      <c r="D105" s="72">
        <v>-90</v>
      </c>
      <c r="E105" s="102">
        <v>-29</v>
      </c>
      <c r="F105" s="72">
        <f>G105+H105+I105+J105</f>
        <v>-21</v>
      </c>
      <c r="G105" s="72"/>
      <c r="H105" s="72"/>
      <c r="I105" s="72">
        <v>-21</v>
      </c>
      <c r="J105" s="72"/>
    </row>
    <row r="106" spans="1:10" ht="105.75" customHeight="1" outlineLevel="1">
      <c r="A106" s="230" t="s">
        <v>566</v>
      </c>
      <c r="B106" s="225" t="s">
        <v>762</v>
      </c>
      <c r="C106" s="103">
        <v>-108</v>
      </c>
      <c r="D106" s="72">
        <v>-253</v>
      </c>
      <c r="E106" s="72">
        <v>-253</v>
      </c>
      <c r="F106" s="72">
        <f>SUM(G106:J106)</f>
        <v>-620</v>
      </c>
      <c r="G106" s="72"/>
      <c r="H106" s="72"/>
      <c r="I106" s="72">
        <v>-186</v>
      </c>
      <c r="J106" s="72">
        <v>-434</v>
      </c>
    </row>
    <row r="107" spans="1:10" ht="108" customHeight="1" outlineLevel="1">
      <c r="A107" s="231" t="s">
        <v>567</v>
      </c>
      <c r="B107" s="225" t="s">
        <v>763</v>
      </c>
      <c r="C107" s="101"/>
      <c r="D107" s="101">
        <v>-11380</v>
      </c>
      <c r="E107" s="101"/>
      <c r="F107" s="72">
        <f t="shared" ref="F107:F109" si="13">SUM(G107:J107)</f>
        <v>0</v>
      </c>
      <c r="G107" s="72"/>
      <c r="H107" s="72"/>
      <c r="I107" s="232"/>
      <c r="J107" s="233"/>
    </row>
    <row r="108" spans="1:10" ht="102" customHeight="1" outlineLevel="1">
      <c r="A108" s="231" t="s">
        <v>562</v>
      </c>
      <c r="B108" s="225" t="s">
        <v>764</v>
      </c>
      <c r="C108" s="72"/>
      <c r="D108" s="72">
        <v>-105</v>
      </c>
      <c r="E108" s="72"/>
      <c r="F108" s="72">
        <f t="shared" si="13"/>
        <v>0</v>
      </c>
      <c r="G108" s="234"/>
      <c r="H108" s="234"/>
      <c r="I108" s="234"/>
      <c r="J108" s="234"/>
    </row>
    <row r="109" spans="1:10" ht="103.5" customHeight="1" outlineLevel="1">
      <c r="A109" s="231" t="s">
        <v>568</v>
      </c>
      <c r="B109" s="225" t="s">
        <v>765</v>
      </c>
      <c r="C109" s="101">
        <v>-108</v>
      </c>
      <c r="D109" s="72">
        <v>-217</v>
      </c>
      <c r="E109" s="72">
        <v>-217</v>
      </c>
      <c r="F109" s="72">
        <f t="shared" si="13"/>
        <v>-620</v>
      </c>
      <c r="G109" s="72"/>
      <c r="H109" s="72"/>
      <c r="I109" s="72">
        <v>-186</v>
      </c>
      <c r="J109" s="72">
        <v>-434</v>
      </c>
    </row>
    <row r="110" spans="1:10" ht="103.5" customHeight="1" outlineLevel="1">
      <c r="A110" s="231" t="s">
        <v>569</v>
      </c>
      <c r="B110" s="225" t="s">
        <v>766</v>
      </c>
      <c r="C110" s="103"/>
      <c r="D110" s="103">
        <v>-6971</v>
      </c>
      <c r="E110" s="103"/>
      <c r="F110" s="72">
        <f>SUM(G110:J110)</f>
        <v>0</v>
      </c>
      <c r="G110" s="234"/>
      <c r="H110" s="234"/>
      <c r="I110" s="232"/>
      <c r="J110" s="235"/>
    </row>
    <row r="111" spans="1:10" ht="99" customHeight="1" outlineLevel="1">
      <c r="A111" s="231" t="s">
        <v>565</v>
      </c>
      <c r="B111" s="225" t="s">
        <v>767</v>
      </c>
      <c r="C111" s="101"/>
      <c r="D111" s="101">
        <v>-304</v>
      </c>
      <c r="E111" s="101">
        <v>-28</v>
      </c>
      <c r="F111" s="72">
        <f>G111+H111+I111+J111</f>
        <v>-1587</v>
      </c>
      <c r="G111" s="72"/>
      <c r="H111" s="72">
        <v>-476</v>
      </c>
      <c r="I111" s="72"/>
      <c r="J111" s="72">
        <v>-1111</v>
      </c>
    </row>
    <row r="112" spans="1:10" ht="45.75" customHeight="1" outlineLevel="1">
      <c r="A112" s="213" t="s">
        <v>555</v>
      </c>
      <c r="B112" s="225" t="s">
        <v>768</v>
      </c>
      <c r="C112" s="101">
        <v>-57</v>
      </c>
      <c r="D112" s="101">
        <v>-140</v>
      </c>
      <c r="E112" s="101">
        <v>-137</v>
      </c>
      <c r="F112" s="72">
        <f t="shared" ref="F112:F120" si="14">G112+H112+I112+J112</f>
        <v>0</v>
      </c>
      <c r="G112" s="72"/>
      <c r="H112" s="72"/>
      <c r="I112" s="72"/>
      <c r="J112" s="72"/>
    </row>
    <row r="113" spans="1:10" ht="52.5" customHeight="1" outlineLevel="1">
      <c r="A113" s="213" t="s">
        <v>556</v>
      </c>
      <c r="B113" s="225" t="s">
        <v>769</v>
      </c>
      <c r="C113" s="101"/>
      <c r="D113" s="101">
        <v>-5162</v>
      </c>
      <c r="E113" s="104"/>
      <c r="F113" s="72">
        <f t="shared" si="14"/>
        <v>0</v>
      </c>
      <c r="G113" s="72"/>
      <c r="H113" s="72"/>
      <c r="I113" s="72"/>
      <c r="J113" s="72"/>
    </row>
    <row r="114" spans="1:10" ht="57.75" customHeight="1" outlineLevel="1">
      <c r="A114" s="213" t="s">
        <v>557</v>
      </c>
      <c r="B114" s="225" t="s">
        <v>770</v>
      </c>
      <c r="C114" s="101"/>
      <c r="D114" s="101">
        <v>-2500</v>
      </c>
      <c r="E114" s="72"/>
      <c r="F114" s="72">
        <f t="shared" ref="F114:F116" si="15">G114+H114+I114+J114</f>
        <v>0</v>
      </c>
      <c r="G114" s="72"/>
      <c r="H114" s="72"/>
      <c r="I114" s="72"/>
      <c r="J114" s="72"/>
    </row>
    <row r="115" spans="1:10" ht="82.5" customHeight="1" outlineLevel="1">
      <c r="A115" s="213" t="s">
        <v>803</v>
      </c>
      <c r="B115" s="225" t="s">
        <v>771</v>
      </c>
      <c r="C115" s="101"/>
      <c r="D115" s="101"/>
      <c r="E115" s="72"/>
      <c r="F115" s="72">
        <f t="shared" si="15"/>
        <v>-920</v>
      </c>
      <c r="G115" s="72"/>
      <c r="H115" s="72"/>
      <c r="I115" s="72">
        <v>-276</v>
      </c>
      <c r="J115" s="72">
        <v>-644</v>
      </c>
    </row>
    <row r="116" spans="1:10" ht="57.75" customHeight="1" outlineLevel="1">
      <c r="A116" s="213" t="s">
        <v>691</v>
      </c>
      <c r="B116" s="225" t="s">
        <v>772</v>
      </c>
      <c r="C116" s="101"/>
      <c r="D116" s="101">
        <v>-50</v>
      </c>
      <c r="E116" s="72"/>
      <c r="F116" s="72">
        <f t="shared" si="15"/>
        <v>0</v>
      </c>
      <c r="G116" s="72"/>
      <c r="H116" s="72"/>
      <c r="I116" s="72"/>
      <c r="J116" s="72"/>
    </row>
    <row r="117" spans="1:10" ht="57.75" customHeight="1" outlineLevel="1">
      <c r="A117" s="213" t="s">
        <v>692</v>
      </c>
      <c r="B117" s="225" t="s">
        <v>773</v>
      </c>
      <c r="C117" s="101"/>
      <c r="D117" s="101">
        <v>-150</v>
      </c>
      <c r="E117" s="72"/>
      <c r="F117" s="72"/>
      <c r="G117" s="72"/>
      <c r="H117" s="72"/>
      <c r="I117" s="72"/>
      <c r="J117" s="72"/>
    </row>
    <row r="118" spans="1:10" ht="68.25" customHeight="1" outlineLevel="1">
      <c r="A118" s="213" t="s">
        <v>570</v>
      </c>
      <c r="B118" s="225" t="s">
        <v>774</v>
      </c>
      <c r="C118" s="101"/>
      <c r="D118" s="101">
        <v>-86</v>
      </c>
      <c r="E118" s="101">
        <v>-2</v>
      </c>
      <c r="F118" s="72">
        <f t="shared" si="14"/>
        <v>0</v>
      </c>
      <c r="G118" s="72"/>
      <c r="H118" s="72"/>
      <c r="I118" s="72"/>
      <c r="J118" s="72"/>
    </row>
    <row r="119" spans="1:10" ht="20.100000000000001" customHeight="1" outlineLevel="1">
      <c r="A119" s="231" t="s">
        <v>668</v>
      </c>
      <c r="B119" s="225" t="s">
        <v>775</v>
      </c>
      <c r="C119" s="101"/>
      <c r="D119" s="101">
        <v>-30</v>
      </c>
      <c r="E119" s="101"/>
      <c r="F119" s="72">
        <f t="shared" si="14"/>
        <v>0</v>
      </c>
      <c r="G119" s="72"/>
      <c r="H119" s="72"/>
      <c r="I119" s="72"/>
      <c r="J119" s="72"/>
    </row>
    <row r="120" spans="1:10" ht="20.100000000000001" customHeight="1" outlineLevel="1">
      <c r="A120" s="231" t="s">
        <v>688</v>
      </c>
      <c r="B120" s="225" t="s">
        <v>776</v>
      </c>
      <c r="C120" s="101"/>
      <c r="D120" s="101"/>
      <c r="E120" s="101"/>
      <c r="F120" s="72">
        <f t="shared" si="14"/>
        <v>-100</v>
      </c>
      <c r="G120" s="72">
        <v>-100</v>
      </c>
      <c r="H120" s="72"/>
      <c r="I120" s="72"/>
      <c r="J120" s="72"/>
    </row>
    <row r="121" spans="1:10" ht="20.100000000000001" customHeight="1">
      <c r="A121" s="176" t="s">
        <v>514</v>
      </c>
      <c r="B121" s="223" t="s">
        <v>777</v>
      </c>
      <c r="C121" s="95">
        <f>C122+C123+C124</f>
        <v>-358.1</v>
      </c>
      <c r="D121" s="79">
        <f>D122+D123+D124</f>
        <v>-499</v>
      </c>
      <c r="E121" s="79">
        <f>E122+E123+E124</f>
        <v>-359</v>
      </c>
      <c r="F121" s="79">
        <f>SUM(G121:J121)</f>
        <v>-1473</v>
      </c>
      <c r="G121" s="79">
        <f>G122+G123+G124</f>
        <v>-218</v>
      </c>
      <c r="H121" s="79">
        <f>H122+H123+H124</f>
        <v>-346</v>
      </c>
      <c r="I121" s="79">
        <f>I122+I123+I124</f>
        <v>-438</v>
      </c>
      <c r="J121" s="79">
        <f>J122+J123+J124</f>
        <v>-471</v>
      </c>
    </row>
    <row r="122" spans="1:10" ht="20.100000000000001" customHeight="1" outlineLevel="1">
      <c r="A122" s="236" t="s">
        <v>450</v>
      </c>
      <c r="B122" s="225" t="s">
        <v>778</v>
      </c>
      <c r="C122" s="72">
        <v>-174</v>
      </c>
      <c r="D122" s="72">
        <v>-232</v>
      </c>
      <c r="E122" s="72">
        <v>-160</v>
      </c>
      <c r="F122" s="72">
        <f>SUM(G122:J122)</f>
        <v>-406</v>
      </c>
      <c r="G122" s="72">
        <v>-55</v>
      </c>
      <c r="H122" s="72"/>
      <c r="I122" s="72">
        <v>-351</v>
      </c>
      <c r="J122" s="72"/>
    </row>
    <row r="123" spans="1:10" outlineLevel="1">
      <c r="A123" s="236" t="s">
        <v>576</v>
      </c>
      <c r="B123" s="225" t="s">
        <v>779</v>
      </c>
      <c r="C123" s="72">
        <v>-23</v>
      </c>
      <c r="D123" s="72">
        <v>-120</v>
      </c>
      <c r="E123" s="72">
        <v>-120</v>
      </c>
      <c r="F123" s="72">
        <f>SUM(G123:J123)</f>
        <v>-476</v>
      </c>
      <c r="G123" s="72">
        <v>-30</v>
      </c>
      <c r="H123" s="72">
        <v>-206</v>
      </c>
      <c r="I123" s="72"/>
      <c r="J123" s="72">
        <v>-240</v>
      </c>
    </row>
    <row r="124" spans="1:10" ht="22.5" customHeight="1" outlineLevel="1">
      <c r="A124" s="237" t="s">
        <v>541</v>
      </c>
      <c r="B124" s="225" t="s">
        <v>780</v>
      </c>
      <c r="C124" s="72">
        <v>-161.1</v>
      </c>
      <c r="D124" s="72">
        <v>-147</v>
      </c>
      <c r="E124" s="72">
        <v>-79</v>
      </c>
      <c r="F124" s="72">
        <f>SUM(G124:J124)</f>
        <v>-591</v>
      </c>
      <c r="G124" s="72">
        <v>-133</v>
      </c>
      <c r="H124" s="72">
        <v>-140</v>
      </c>
      <c r="I124" s="72">
        <v>-87</v>
      </c>
      <c r="J124" s="72">
        <v>-231</v>
      </c>
    </row>
    <row r="125" spans="1:10" ht="20.100000000000001" customHeight="1">
      <c r="A125" s="176" t="s">
        <v>390</v>
      </c>
      <c r="B125" s="238" t="s">
        <v>781</v>
      </c>
      <c r="C125" s="95">
        <f>SUM(C126:C136)</f>
        <v>-1638.5000000000002</v>
      </c>
      <c r="D125" s="79">
        <f>SUM(D126:D136)</f>
        <v>-6371</v>
      </c>
      <c r="E125" s="79">
        <f>SUM(E126:E136)</f>
        <v>-1702</v>
      </c>
      <c r="F125" s="79">
        <f>G125+H125+I125+J125</f>
        <v>-16625</v>
      </c>
      <c r="G125" s="79">
        <f>SUM(G126:G138)</f>
        <v>-1029</v>
      </c>
      <c r="H125" s="79">
        <f>SUM(H126:H138)</f>
        <v>-292</v>
      </c>
      <c r="I125" s="79">
        <f>SUM(I126:I138)</f>
        <v>-9967</v>
      </c>
      <c r="J125" s="79">
        <f>SUM(J126:J138)</f>
        <v>-5337</v>
      </c>
    </row>
    <row r="126" spans="1:10" outlineLevel="1">
      <c r="A126" s="236" t="s">
        <v>559</v>
      </c>
      <c r="B126" s="225" t="s">
        <v>782</v>
      </c>
      <c r="C126" s="72">
        <v>-132.69999999999999</v>
      </c>
      <c r="D126" s="72">
        <v>-233</v>
      </c>
      <c r="E126" s="72">
        <v>-116</v>
      </c>
      <c r="F126" s="72">
        <f t="shared" ref="F126:F148" si="16">SUM(G126:J126)</f>
        <v>-93</v>
      </c>
      <c r="G126" s="72"/>
      <c r="H126" s="72">
        <v>-93</v>
      </c>
      <c r="I126" s="72"/>
      <c r="J126" s="79"/>
    </row>
    <row r="127" spans="1:10" ht="20.100000000000001" customHeight="1" outlineLevel="1">
      <c r="A127" s="236" t="s">
        <v>659</v>
      </c>
      <c r="B127" s="225" t="s">
        <v>783</v>
      </c>
      <c r="C127" s="72">
        <v>-152.9</v>
      </c>
      <c r="D127" s="72">
        <v>-262</v>
      </c>
      <c r="E127" s="72">
        <v>-214</v>
      </c>
      <c r="F127" s="72">
        <f t="shared" si="16"/>
        <v>-199</v>
      </c>
      <c r="G127" s="72"/>
      <c r="H127" s="72">
        <v>-50</v>
      </c>
      <c r="I127" s="72">
        <v>-149</v>
      </c>
      <c r="J127" s="79"/>
    </row>
    <row r="128" spans="1:10" ht="20.100000000000001" customHeight="1" outlineLevel="1">
      <c r="A128" s="239" t="s">
        <v>675</v>
      </c>
      <c r="B128" s="225" t="s">
        <v>784</v>
      </c>
      <c r="C128" s="72">
        <v>-62.2</v>
      </c>
      <c r="D128" s="72">
        <v>-90</v>
      </c>
      <c r="E128" s="72">
        <v>-240</v>
      </c>
      <c r="F128" s="72">
        <f t="shared" si="16"/>
        <v>-131</v>
      </c>
      <c r="G128" s="72"/>
      <c r="H128" s="72"/>
      <c r="I128" s="72">
        <v>-131</v>
      </c>
      <c r="J128" s="72"/>
    </row>
    <row r="129" spans="1:10" ht="20.100000000000001" customHeight="1" outlineLevel="1">
      <c r="A129" s="236" t="s">
        <v>469</v>
      </c>
      <c r="B129" s="225" t="s">
        <v>785</v>
      </c>
      <c r="C129" s="72">
        <v>-622.6</v>
      </c>
      <c r="D129" s="72">
        <v>-256</v>
      </c>
      <c r="E129" s="72">
        <v>0</v>
      </c>
      <c r="F129" s="72">
        <f t="shared" si="16"/>
        <v>0</v>
      </c>
      <c r="G129" s="72"/>
      <c r="H129" s="72"/>
      <c r="I129" s="72"/>
      <c r="J129" s="72"/>
    </row>
    <row r="130" spans="1:10" ht="40.5" customHeight="1" outlineLevel="1">
      <c r="A130" s="236" t="s">
        <v>684</v>
      </c>
      <c r="B130" s="225" t="s">
        <v>786</v>
      </c>
      <c r="C130" s="72">
        <v>-535.70000000000005</v>
      </c>
      <c r="D130" s="72">
        <v>-733</v>
      </c>
      <c r="E130" s="72">
        <v>-593</v>
      </c>
      <c r="F130" s="72">
        <f t="shared" si="16"/>
        <v>-826</v>
      </c>
      <c r="G130" s="72">
        <v>-371</v>
      </c>
      <c r="H130" s="72">
        <v>-49</v>
      </c>
      <c r="I130" s="72">
        <v>-5</v>
      </c>
      <c r="J130" s="72">
        <v>-401</v>
      </c>
    </row>
    <row r="131" spans="1:10" ht="37.5" outlineLevel="1">
      <c r="A131" s="236" t="s">
        <v>580</v>
      </c>
      <c r="B131" s="225" t="s">
        <v>787</v>
      </c>
      <c r="C131" s="72">
        <v>-32.4</v>
      </c>
      <c r="D131" s="72"/>
      <c r="E131" s="72"/>
      <c r="F131" s="72">
        <f t="shared" si="16"/>
        <v>0</v>
      </c>
      <c r="G131" s="72"/>
      <c r="H131" s="72"/>
      <c r="I131" s="72"/>
      <c r="J131" s="72"/>
    </row>
    <row r="132" spans="1:10" ht="46.5" customHeight="1" outlineLevel="1">
      <c r="A132" s="240" t="s">
        <v>705</v>
      </c>
      <c r="B132" s="225" t="s">
        <v>788</v>
      </c>
      <c r="C132" s="72"/>
      <c r="D132" s="72"/>
      <c r="E132" s="72"/>
      <c r="F132" s="72">
        <f t="shared" si="16"/>
        <v>-80</v>
      </c>
      <c r="G132" s="72"/>
      <c r="H132" s="72"/>
      <c r="I132" s="72">
        <v>-24</v>
      </c>
      <c r="J132" s="72">
        <v>-56</v>
      </c>
    </row>
    <row r="133" spans="1:10" ht="56.25" customHeight="1" outlineLevel="1">
      <c r="A133" s="240" t="s">
        <v>706</v>
      </c>
      <c r="B133" s="225" t="s">
        <v>789</v>
      </c>
      <c r="C133" s="72"/>
      <c r="D133" s="72"/>
      <c r="E133" s="72"/>
      <c r="F133" s="72">
        <f t="shared" si="16"/>
        <v>-700</v>
      </c>
      <c r="G133" s="72"/>
      <c r="H133" s="72"/>
      <c r="I133" s="72">
        <v>-210</v>
      </c>
      <c r="J133" s="72">
        <v>-490</v>
      </c>
    </row>
    <row r="134" spans="1:10" ht="55.5" customHeight="1" outlineLevel="1">
      <c r="A134" s="240" t="s">
        <v>674</v>
      </c>
      <c r="B134" s="225" t="s">
        <v>790</v>
      </c>
      <c r="C134" s="72">
        <v>-100</v>
      </c>
      <c r="D134" s="72">
        <v>-3297</v>
      </c>
      <c r="E134" s="72">
        <v>-89</v>
      </c>
      <c r="F134" s="72">
        <f t="shared" si="16"/>
        <v>-9046</v>
      </c>
      <c r="G134" s="72">
        <v>-208</v>
      </c>
      <c r="H134" s="72"/>
      <c r="I134" s="72">
        <v>-4448</v>
      </c>
      <c r="J134" s="72">
        <v>-4390</v>
      </c>
    </row>
    <row r="135" spans="1:10" ht="55.5" customHeight="1" outlineLevel="1">
      <c r="A135" s="240" t="s">
        <v>700</v>
      </c>
      <c r="B135" s="225" t="s">
        <v>791</v>
      </c>
      <c r="C135" s="72"/>
      <c r="D135" s="72">
        <v>-150</v>
      </c>
      <c r="E135" s="72"/>
      <c r="F135" s="72">
        <f t="shared" si="16"/>
        <v>0</v>
      </c>
      <c r="G135" s="72"/>
      <c r="H135" s="72"/>
      <c r="I135" s="72"/>
      <c r="J135" s="72"/>
    </row>
    <row r="136" spans="1:10" ht="42" customHeight="1" outlineLevel="1">
      <c r="A136" s="240" t="s">
        <v>579</v>
      </c>
      <c r="B136" s="225" t="s">
        <v>792</v>
      </c>
      <c r="C136" s="72"/>
      <c r="D136" s="72">
        <v>-1350</v>
      </c>
      <c r="E136" s="72">
        <v>-450</v>
      </c>
      <c r="F136" s="72">
        <f t="shared" si="16"/>
        <v>-450</v>
      </c>
      <c r="G136" s="72">
        <v>-450</v>
      </c>
      <c r="H136" s="72"/>
      <c r="I136" s="72"/>
      <c r="J136" s="72"/>
    </row>
    <row r="137" spans="1:10" outlineLevel="1">
      <c r="A137" s="240" t="s">
        <v>842</v>
      </c>
      <c r="B137" s="225" t="s">
        <v>793</v>
      </c>
      <c r="C137" s="72"/>
      <c r="D137" s="72"/>
      <c r="E137" s="72"/>
      <c r="F137" s="72">
        <f t="shared" si="16"/>
        <v>-100</v>
      </c>
      <c r="G137" s="72"/>
      <c r="H137" s="72">
        <v>-100</v>
      </c>
      <c r="I137" s="72"/>
      <c r="J137" s="72"/>
    </row>
    <row r="138" spans="1:10" outlineLevel="1">
      <c r="A138" s="240" t="s">
        <v>701</v>
      </c>
      <c r="B138" s="225" t="s">
        <v>794</v>
      </c>
      <c r="C138" s="72"/>
      <c r="D138" s="72"/>
      <c r="E138" s="72"/>
      <c r="F138" s="72">
        <f t="shared" si="16"/>
        <v>-5000</v>
      </c>
      <c r="G138" s="72"/>
      <c r="H138" s="72"/>
      <c r="I138" s="72">
        <v>-5000</v>
      </c>
      <c r="J138" s="72"/>
    </row>
    <row r="139" spans="1:10" outlineLevel="1">
      <c r="A139" s="240" t="s">
        <v>795</v>
      </c>
      <c r="B139" s="225" t="s">
        <v>796</v>
      </c>
      <c r="C139" s="72"/>
      <c r="D139" s="72"/>
      <c r="E139" s="72"/>
      <c r="F139" s="72"/>
      <c r="G139" s="72"/>
      <c r="H139" s="72"/>
      <c r="I139" s="72"/>
      <c r="J139" s="72"/>
    </row>
    <row r="140" spans="1:10" outlineLevel="1">
      <c r="A140" s="240" t="s">
        <v>93</v>
      </c>
      <c r="B140" s="225" t="s">
        <v>797</v>
      </c>
      <c r="C140" s="72"/>
      <c r="D140" s="72"/>
      <c r="E140" s="72"/>
      <c r="F140" s="72"/>
      <c r="G140" s="72"/>
      <c r="H140" s="72"/>
      <c r="I140" s="72"/>
      <c r="J140" s="72"/>
    </row>
    <row r="141" spans="1:10" ht="20.100000000000001" customHeight="1">
      <c r="A141" s="241" t="s">
        <v>146</v>
      </c>
      <c r="B141" s="177">
        <v>3295</v>
      </c>
      <c r="C141" s="95">
        <f t="shared" ref="C141:J141" si="17">C63+C73</f>
        <v>-21010.999999999993</v>
      </c>
      <c r="D141" s="79">
        <f t="shared" si="17"/>
        <v>-60761</v>
      </c>
      <c r="E141" s="79">
        <f t="shared" si="17"/>
        <v>24497</v>
      </c>
      <c r="F141" s="79">
        <f t="shared" si="17"/>
        <v>-10908</v>
      </c>
      <c r="G141" s="79">
        <f t="shared" si="17"/>
        <v>-3040</v>
      </c>
      <c r="H141" s="79">
        <f t="shared" si="17"/>
        <v>-6479</v>
      </c>
      <c r="I141" s="79">
        <f t="shared" si="17"/>
        <v>2133</v>
      </c>
      <c r="J141" s="79">
        <f t="shared" si="17"/>
        <v>-3522</v>
      </c>
    </row>
    <row r="142" spans="1:10" ht="20.100000000000001" customHeight="1">
      <c r="A142" s="207" t="s">
        <v>147</v>
      </c>
      <c r="B142" s="144"/>
      <c r="C142" s="72" t="s">
        <v>251</v>
      </c>
      <c r="D142" s="78" t="s">
        <v>251</v>
      </c>
      <c r="E142" s="78" t="s">
        <v>251</v>
      </c>
      <c r="F142" s="78">
        <f t="shared" si="16"/>
        <v>0</v>
      </c>
      <c r="G142" s="78" t="s">
        <v>251</v>
      </c>
      <c r="H142" s="78" t="s">
        <v>251</v>
      </c>
      <c r="I142" s="78" t="s">
        <v>251</v>
      </c>
      <c r="J142" s="78" t="s">
        <v>251</v>
      </c>
    </row>
    <row r="143" spans="1:10" ht="20.100000000000001" customHeight="1">
      <c r="A143" s="176" t="s">
        <v>320</v>
      </c>
      <c r="B143" s="198">
        <v>3300</v>
      </c>
      <c r="C143" s="72">
        <f>SUM(C144:C146)</f>
        <v>0</v>
      </c>
      <c r="D143" s="78">
        <f>SUM(D144:D146)</f>
        <v>0</v>
      </c>
      <c r="E143" s="78">
        <f>SUM(E144:E146)</f>
        <v>0</v>
      </c>
      <c r="F143" s="78">
        <f t="shared" si="16"/>
        <v>0</v>
      </c>
      <c r="G143" s="78">
        <f>SUM(G144:G146)</f>
        <v>0</v>
      </c>
      <c r="H143" s="78">
        <f>SUM(H144:H146)</f>
        <v>0</v>
      </c>
      <c r="I143" s="78">
        <f>SUM(I144:I146)</f>
        <v>0</v>
      </c>
      <c r="J143" s="78">
        <f>SUM(J144:J146)</f>
        <v>0</v>
      </c>
    </row>
    <row r="144" spans="1:10" ht="20.100000000000001" customHeight="1">
      <c r="A144" s="143" t="s">
        <v>321</v>
      </c>
      <c r="B144" s="126">
        <v>3305</v>
      </c>
      <c r="C144" s="72" t="s">
        <v>251</v>
      </c>
      <c r="D144" s="78" t="s">
        <v>251</v>
      </c>
      <c r="E144" s="78" t="s">
        <v>251</v>
      </c>
      <c r="F144" s="78">
        <f t="shared" si="16"/>
        <v>0</v>
      </c>
      <c r="G144" s="78" t="s">
        <v>251</v>
      </c>
      <c r="H144" s="78" t="s">
        <v>251</v>
      </c>
      <c r="I144" s="78" t="s">
        <v>251</v>
      </c>
      <c r="J144" s="78" t="s">
        <v>251</v>
      </c>
    </row>
    <row r="145" spans="1:10" ht="20.100000000000001" customHeight="1">
      <c r="A145" s="143" t="s">
        <v>322</v>
      </c>
      <c r="B145" s="126">
        <v>3310</v>
      </c>
      <c r="C145" s="72" t="s">
        <v>251</v>
      </c>
      <c r="D145" s="78" t="s">
        <v>251</v>
      </c>
      <c r="E145" s="78" t="s">
        <v>251</v>
      </c>
      <c r="F145" s="78">
        <f t="shared" si="16"/>
        <v>0</v>
      </c>
      <c r="G145" s="78" t="s">
        <v>251</v>
      </c>
      <c r="H145" s="78" t="s">
        <v>251</v>
      </c>
      <c r="I145" s="78" t="s">
        <v>251</v>
      </c>
      <c r="J145" s="78" t="s">
        <v>251</v>
      </c>
    </row>
    <row r="146" spans="1:10" ht="20.100000000000001" customHeight="1">
      <c r="A146" s="143" t="s">
        <v>94</v>
      </c>
      <c r="B146" s="126">
        <v>3311</v>
      </c>
      <c r="C146" s="72" t="s">
        <v>251</v>
      </c>
      <c r="D146" s="78" t="s">
        <v>251</v>
      </c>
      <c r="E146" s="78" t="s">
        <v>251</v>
      </c>
      <c r="F146" s="78">
        <f t="shared" si="16"/>
        <v>0</v>
      </c>
      <c r="G146" s="78" t="s">
        <v>251</v>
      </c>
      <c r="H146" s="78" t="s">
        <v>251</v>
      </c>
      <c r="I146" s="78" t="s">
        <v>251</v>
      </c>
      <c r="J146" s="78" t="s">
        <v>251</v>
      </c>
    </row>
    <row r="147" spans="1:10" ht="20.100000000000001" customHeight="1">
      <c r="A147" s="143" t="s">
        <v>97</v>
      </c>
      <c r="B147" s="126">
        <v>3312</v>
      </c>
      <c r="C147" s="72" t="s">
        <v>251</v>
      </c>
      <c r="D147" s="78" t="s">
        <v>251</v>
      </c>
      <c r="E147" s="78" t="s">
        <v>251</v>
      </c>
      <c r="F147" s="78">
        <f t="shared" si="16"/>
        <v>0</v>
      </c>
      <c r="G147" s="78" t="s">
        <v>251</v>
      </c>
      <c r="H147" s="78" t="s">
        <v>251</v>
      </c>
      <c r="I147" s="78" t="s">
        <v>251</v>
      </c>
      <c r="J147" s="78" t="s">
        <v>251</v>
      </c>
    </row>
    <row r="148" spans="1:10" ht="20.100000000000001" customHeight="1">
      <c r="A148" s="143" t="s">
        <v>118</v>
      </c>
      <c r="B148" s="144">
        <v>3313</v>
      </c>
      <c r="C148" s="72"/>
      <c r="D148" s="78" t="s">
        <v>251</v>
      </c>
      <c r="E148" s="78" t="s">
        <v>251</v>
      </c>
      <c r="F148" s="78">
        <f t="shared" si="16"/>
        <v>0</v>
      </c>
      <c r="G148" s="78" t="s">
        <v>251</v>
      </c>
      <c r="H148" s="78" t="s">
        <v>251</v>
      </c>
      <c r="I148" s="78"/>
      <c r="J148" s="78" t="s">
        <v>251</v>
      </c>
    </row>
    <row r="149" spans="1:10" ht="20.100000000000001" customHeight="1">
      <c r="A149" s="143" t="s">
        <v>393</v>
      </c>
      <c r="B149" s="144">
        <v>3320</v>
      </c>
      <c r="C149" s="79"/>
      <c r="D149" s="105"/>
      <c r="E149" s="105"/>
      <c r="F149" s="105"/>
      <c r="G149" s="105"/>
      <c r="H149" s="105"/>
      <c r="I149" s="105"/>
      <c r="J149" s="105"/>
    </row>
    <row r="150" spans="1:10" ht="20.100000000000001" customHeight="1">
      <c r="A150" s="176" t="s">
        <v>798</v>
      </c>
      <c r="B150" s="177">
        <v>3330</v>
      </c>
      <c r="C150" s="79"/>
      <c r="D150" s="105"/>
      <c r="E150" s="105"/>
      <c r="F150" s="105">
        <f>F159</f>
        <v>0</v>
      </c>
      <c r="G150" s="79">
        <f t="shared" ref="G150:J150" si="18">G159</f>
        <v>0</v>
      </c>
      <c r="H150" s="79">
        <f t="shared" si="18"/>
        <v>0</v>
      </c>
      <c r="I150" s="79">
        <f t="shared" si="18"/>
        <v>0</v>
      </c>
      <c r="J150" s="79">
        <f t="shared" si="18"/>
        <v>0</v>
      </c>
    </row>
    <row r="151" spans="1:10" ht="20.100000000000001" customHeight="1">
      <c r="A151" s="143" t="s">
        <v>323</v>
      </c>
      <c r="B151" s="144">
        <v>3335</v>
      </c>
      <c r="C151" s="79"/>
      <c r="D151" s="105"/>
      <c r="E151" s="105"/>
      <c r="F151" s="105"/>
      <c r="G151" s="79"/>
      <c r="H151" s="79"/>
      <c r="I151" s="79"/>
      <c r="J151" s="79"/>
    </row>
    <row r="152" spans="1:10" ht="20.100000000000001" customHeight="1">
      <c r="A152" s="143" t="s">
        <v>324</v>
      </c>
      <c r="B152" s="144">
        <v>3340</v>
      </c>
      <c r="C152" s="79"/>
      <c r="D152" s="105"/>
      <c r="E152" s="105"/>
      <c r="F152" s="105"/>
      <c r="G152" s="79"/>
      <c r="H152" s="79"/>
      <c r="I152" s="79"/>
      <c r="J152" s="79"/>
    </row>
    <row r="153" spans="1:10" ht="20.100000000000001" customHeight="1">
      <c r="A153" s="143" t="s">
        <v>94</v>
      </c>
      <c r="B153" s="144">
        <v>3341</v>
      </c>
      <c r="C153" s="79"/>
      <c r="D153" s="105"/>
      <c r="E153" s="105"/>
      <c r="F153" s="105"/>
      <c r="G153" s="79"/>
      <c r="H153" s="79"/>
      <c r="I153" s="79"/>
      <c r="J153" s="79"/>
    </row>
    <row r="154" spans="1:10" ht="20.100000000000001" customHeight="1">
      <c r="A154" s="143" t="s">
        <v>97</v>
      </c>
      <c r="B154" s="144">
        <v>3342</v>
      </c>
      <c r="C154" s="79"/>
      <c r="D154" s="105"/>
      <c r="E154" s="105"/>
      <c r="F154" s="105"/>
      <c r="G154" s="79"/>
      <c r="H154" s="79"/>
      <c r="I154" s="79"/>
      <c r="J154" s="79"/>
    </row>
    <row r="155" spans="1:10" ht="20.100000000000001" customHeight="1">
      <c r="A155" s="143" t="s">
        <v>118</v>
      </c>
      <c r="B155" s="144">
        <v>3343</v>
      </c>
      <c r="C155" s="79"/>
      <c r="D155" s="105"/>
      <c r="E155" s="105"/>
      <c r="F155" s="105"/>
      <c r="G155" s="79"/>
      <c r="H155" s="79"/>
      <c r="I155" s="79"/>
      <c r="J155" s="79"/>
    </row>
    <row r="156" spans="1:10" ht="20.100000000000001" customHeight="1">
      <c r="A156" s="143" t="s">
        <v>325</v>
      </c>
      <c r="B156" s="144">
        <v>3350</v>
      </c>
      <c r="C156" s="79"/>
      <c r="D156" s="105"/>
      <c r="E156" s="105"/>
      <c r="F156" s="105"/>
      <c r="G156" s="79"/>
      <c r="H156" s="79"/>
      <c r="I156" s="79"/>
      <c r="J156" s="79"/>
    </row>
    <row r="157" spans="1:10" ht="20.100000000000001" customHeight="1">
      <c r="A157" s="143" t="s">
        <v>799</v>
      </c>
      <c r="B157" s="144">
        <v>3360</v>
      </c>
      <c r="C157" s="79"/>
      <c r="D157" s="105"/>
      <c r="E157" s="105"/>
      <c r="F157" s="105"/>
      <c r="G157" s="79"/>
      <c r="H157" s="79"/>
      <c r="I157" s="79"/>
      <c r="J157" s="79"/>
    </row>
    <row r="158" spans="1:10" ht="20.100000000000001" customHeight="1">
      <c r="A158" s="143" t="s">
        <v>800</v>
      </c>
      <c r="B158" s="144">
        <v>3370</v>
      </c>
      <c r="C158" s="79"/>
      <c r="D158" s="105"/>
      <c r="E158" s="105"/>
      <c r="F158" s="105"/>
      <c r="G158" s="79"/>
      <c r="H158" s="79"/>
      <c r="I158" s="79"/>
      <c r="J158" s="79"/>
    </row>
    <row r="159" spans="1:10" ht="20.100000000000001" customHeight="1">
      <c r="A159" s="143" t="s">
        <v>801</v>
      </c>
      <c r="B159" s="144">
        <v>3380</v>
      </c>
      <c r="C159" s="79"/>
      <c r="D159" s="105"/>
      <c r="E159" s="105"/>
      <c r="F159" s="105">
        <f t="shared" ref="F159" si="19">SUM(G159:J159)</f>
        <v>0</v>
      </c>
      <c r="G159" s="79"/>
      <c r="H159" s="79"/>
      <c r="I159" s="79"/>
      <c r="J159" s="79"/>
    </row>
    <row r="160" spans="1:10" ht="20.100000000000001" customHeight="1">
      <c r="A160" s="176" t="s">
        <v>148</v>
      </c>
      <c r="B160" s="177">
        <v>3395</v>
      </c>
      <c r="C160" s="79"/>
      <c r="D160" s="105"/>
      <c r="E160" s="105"/>
      <c r="F160" s="105"/>
      <c r="G160" s="105"/>
      <c r="H160" s="105"/>
      <c r="I160" s="105"/>
      <c r="J160" s="105"/>
    </row>
    <row r="161" spans="1:11" ht="20.100000000000001" customHeight="1">
      <c r="A161" s="176" t="s">
        <v>33</v>
      </c>
      <c r="B161" s="177">
        <v>3400</v>
      </c>
      <c r="C161" s="95">
        <f>SUM(C61,C141,C149,C160)</f>
        <v>-4844.2000000000044</v>
      </c>
      <c r="D161" s="79">
        <f>SUM(D61,D141,D149)</f>
        <v>39757</v>
      </c>
      <c r="E161" s="79">
        <f>SUM(E61,E141,E149)</f>
        <v>43924</v>
      </c>
      <c r="F161" s="79">
        <f>SUM(F61,F141,F149,F150)</f>
        <v>-18982</v>
      </c>
      <c r="G161" s="79">
        <f>SUM(G61,G141,G149,G150)</f>
        <v>7236</v>
      </c>
      <c r="H161" s="79">
        <f>SUM(H61,H141,H149,H150)</f>
        <v>-5398</v>
      </c>
      <c r="I161" s="79">
        <f>SUM(I61,I141,I149,I150)</f>
        <v>-14832</v>
      </c>
      <c r="J161" s="79">
        <f>SUM(J61,J141,J149,J150)</f>
        <v>-5988</v>
      </c>
      <c r="K161" s="57"/>
    </row>
    <row r="162" spans="1:11" s="8" customFormat="1" ht="20.100000000000001" customHeight="1">
      <c r="A162" s="143" t="s">
        <v>264</v>
      </c>
      <c r="B162" s="144">
        <v>3405</v>
      </c>
      <c r="C162" s="72">
        <v>63005.2</v>
      </c>
      <c r="D162" s="72">
        <v>27072</v>
      </c>
      <c r="E162" s="72">
        <f>C164</f>
        <v>58160.999999999993</v>
      </c>
      <c r="F162" s="72">
        <f>G162</f>
        <v>102148</v>
      </c>
      <c r="G162" s="72">
        <v>102148</v>
      </c>
      <c r="H162" s="72">
        <f>G164</f>
        <v>109384</v>
      </c>
      <c r="I162" s="72">
        <f>H164</f>
        <v>103986</v>
      </c>
      <c r="J162" s="72">
        <f>I164</f>
        <v>89154</v>
      </c>
    </row>
    <row r="163" spans="1:11" s="8" customFormat="1" ht="20.100000000000001" customHeight="1">
      <c r="A163" s="148" t="s">
        <v>150</v>
      </c>
      <c r="B163" s="144">
        <v>3410</v>
      </c>
      <c r="C163" s="72"/>
      <c r="D163" s="72"/>
      <c r="E163" s="72"/>
      <c r="F163" s="72">
        <f>SUM(G163:J163)</f>
        <v>0</v>
      </c>
      <c r="G163" s="72"/>
      <c r="H163" s="72"/>
      <c r="I163" s="72"/>
      <c r="J163" s="72"/>
    </row>
    <row r="164" spans="1:11" s="8" customFormat="1" ht="20.100000000000001" customHeight="1">
      <c r="A164" s="143" t="s">
        <v>267</v>
      </c>
      <c r="B164" s="144">
        <v>3415</v>
      </c>
      <c r="C164" s="72">
        <f>C161+C162+C163</f>
        <v>58160.999999999993</v>
      </c>
      <c r="D164" s="72">
        <f>SUM(D162,D161,D163)</f>
        <v>66829</v>
      </c>
      <c r="E164" s="72">
        <f t="shared" ref="E164:J164" si="20">SUM(E162,E161,E163)</f>
        <v>102085</v>
      </c>
      <c r="F164" s="72">
        <f t="shared" si="20"/>
        <v>83166</v>
      </c>
      <c r="G164" s="72">
        <f t="shared" si="20"/>
        <v>109384</v>
      </c>
      <c r="H164" s="72">
        <f t="shared" si="20"/>
        <v>103986</v>
      </c>
      <c r="I164" s="72">
        <f t="shared" si="20"/>
        <v>89154</v>
      </c>
      <c r="J164" s="72">
        <f t="shared" si="20"/>
        <v>83166</v>
      </c>
    </row>
    <row r="165" spans="1:11" s="8" customFormat="1" ht="20.100000000000001" customHeight="1">
      <c r="A165" s="115"/>
      <c r="B165" s="242"/>
      <c r="C165" s="243"/>
      <c r="D165" s="106"/>
      <c r="E165" s="106"/>
      <c r="F165" s="244"/>
      <c r="G165" s="106"/>
      <c r="H165" s="106"/>
      <c r="I165" s="106"/>
      <c r="J165" s="106"/>
    </row>
    <row r="166" spans="1:11" s="8" customFormat="1" ht="20.100000000000001" customHeight="1">
      <c r="A166" s="115"/>
      <c r="B166" s="242"/>
      <c r="C166" s="243"/>
      <c r="D166" s="106"/>
      <c r="E166" s="106"/>
      <c r="F166" s="244"/>
      <c r="G166" s="106"/>
      <c r="H166" s="106"/>
      <c r="I166" s="106"/>
      <c r="J166" s="106"/>
    </row>
    <row r="167" spans="1:11" s="8" customFormat="1" ht="20.100000000000001" customHeight="1">
      <c r="A167" s="115"/>
      <c r="B167" s="242"/>
      <c r="C167" s="243"/>
      <c r="D167" s="106"/>
      <c r="E167" s="106"/>
      <c r="F167" s="244"/>
      <c r="G167" s="106"/>
      <c r="H167" s="106"/>
      <c r="I167" s="106"/>
      <c r="J167" s="106"/>
    </row>
    <row r="168" spans="1:11" s="120" customFormat="1" ht="20.100000000000001" customHeight="1">
      <c r="A168" s="115" t="str">
        <f>'Осн. фін. пок.'!A144</f>
        <v>Т.в.о. директора</v>
      </c>
      <c r="B168" s="166"/>
      <c r="C168" s="357" t="s">
        <v>106</v>
      </c>
      <c r="D168" s="358"/>
      <c r="E168" s="358"/>
      <c r="F168" s="358"/>
      <c r="G168" s="77"/>
      <c r="H168" s="359" t="str">
        <f>'Осн. фін. пок.'!H144</f>
        <v>Р.М. Мікрух</v>
      </c>
      <c r="I168" s="359"/>
      <c r="J168" s="359"/>
    </row>
    <row r="169" spans="1:11" ht="20.100000000000001" customHeight="1">
      <c r="A169" s="189"/>
      <c r="B169" s="120"/>
      <c r="C169" s="336" t="s">
        <v>220</v>
      </c>
      <c r="D169" s="336"/>
      <c r="E169" s="336"/>
      <c r="F169" s="336"/>
      <c r="G169" s="118"/>
      <c r="H169" s="335"/>
      <c r="I169" s="335"/>
      <c r="J169" s="335"/>
    </row>
    <row r="170" spans="1:11">
      <c r="A170" s="189"/>
      <c r="C170" s="116"/>
    </row>
    <row r="171" spans="1:11">
      <c r="A171" s="115"/>
      <c r="C171" s="116"/>
      <c r="F171" s="107">
        <f>F164-J164</f>
        <v>0</v>
      </c>
      <c r="H171" s="107"/>
      <c r="I171" s="107"/>
      <c r="J171" s="107"/>
    </row>
    <row r="172" spans="1:11">
      <c r="A172" s="245"/>
      <c r="C172" s="116"/>
    </row>
    <row r="173" spans="1:11">
      <c r="A173" s="115"/>
      <c r="C173" s="116"/>
    </row>
    <row r="174" spans="1:11">
      <c r="C174" s="116"/>
      <c r="H174" s="107"/>
      <c r="I174" s="107"/>
      <c r="J174" s="107"/>
    </row>
    <row r="175" spans="1:11">
      <c r="C175" s="116"/>
    </row>
    <row r="176" spans="1:11">
      <c r="C176" s="116"/>
    </row>
    <row r="177" spans="1:3">
      <c r="C177" s="116"/>
    </row>
    <row r="178" spans="1:3">
      <c r="A178" s="114"/>
      <c r="C178" s="116"/>
    </row>
    <row r="179" spans="1:3">
      <c r="C179" s="116"/>
    </row>
    <row r="180" spans="1:3">
      <c r="C180" s="116"/>
    </row>
    <row r="181" spans="1:3">
      <c r="C181" s="116"/>
    </row>
    <row r="182" spans="1:3">
      <c r="C182" s="116"/>
    </row>
    <row r="183" spans="1:3">
      <c r="C183" s="116"/>
    </row>
    <row r="184" spans="1:3">
      <c r="C184" s="116"/>
    </row>
    <row r="185" spans="1:3">
      <c r="C185" s="116"/>
    </row>
    <row r="186" spans="1:3">
      <c r="C186" s="116"/>
    </row>
    <row r="187" spans="1:3">
      <c r="C187" s="116"/>
    </row>
    <row r="188" spans="1:3">
      <c r="C188" s="116"/>
    </row>
    <row r="189" spans="1:3">
      <c r="C189" s="116"/>
    </row>
    <row r="190" spans="1:3">
      <c r="C190" s="116"/>
    </row>
    <row r="191" spans="1:3">
      <c r="C191" s="116"/>
    </row>
    <row r="192" spans="1:3">
      <c r="C192" s="116"/>
    </row>
    <row r="193" spans="3:3">
      <c r="C193" s="116"/>
    </row>
    <row r="194" spans="3:3">
      <c r="C194" s="116"/>
    </row>
    <row r="195" spans="3:3">
      <c r="C195" s="116"/>
    </row>
    <row r="196" spans="3:3">
      <c r="C196" s="116"/>
    </row>
    <row r="197" spans="3:3">
      <c r="C197" s="116"/>
    </row>
    <row r="198" spans="3:3">
      <c r="C198" s="116"/>
    </row>
    <row r="199" spans="3:3">
      <c r="C199" s="116"/>
    </row>
    <row r="200" spans="3:3">
      <c r="C200" s="116"/>
    </row>
  </sheetData>
  <mergeCells count="12">
    <mergeCell ref="C169:F169"/>
    <mergeCell ref="H169:J169"/>
    <mergeCell ref="C168:F168"/>
    <mergeCell ref="H168:J168"/>
    <mergeCell ref="A1:J1"/>
    <mergeCell ref="A3:A4"/>
    <mergeCell ref="B3:B4"/>
    <mergeCell ref="C3:C4"/>
    <mergeCell ref="D3:D4"/>
    <mergeCell ref="E3:E4"/>
    <mergeCell ref="F3:F4"/>
    <mergeCell ref="G3:J3"/>
  </mergeCells>
  <phoneticPr fontId="7" type="noConversion"/>
  <pageMargins left="0" right="0" top="0" bottom="0" header="0.31496062992125984" footer="0.51181102362204722"/>
  <pageSetup paperSize="9" scale="60" fitToHeight="6" orientation="landscape" r:id="rId1"/>
  <headerFooter alignWithMargins="0">
    <oddHeader>&amp;C&amp;"Times New Roman,обычный"&amp;14 
9&amp;R&amp;"Times New Roman,обычный"&amp;14
Продовження додатка 1
Таблиця 3</oddHeader>
  </headerFooter>
  <rowBreaks count="1" manualBreakCount="1">
    <brk id="61" max="9" man="1"/>
  </rowBreaks>
  <ignoredErrors>
    <ignoredError sqref="F13 F35 F45 F39 F143" formula="1"/>
    <ignoredError sqref="C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T171"/>
  <sheetViews>
    <sheetView zoomScale="75" zoomScaleNormal="75" zoomScaleSheetLayoutView="50" workbookViewId="0">
      <selection activeCell="H17" sqref="H17:J17"/>
    </sheetView>
  </sheetViews>
  <sheetFormatPr defaultRowHeight="18.75"/>
  <cols>
    <col min="1" max="1" width="80.140625" style="120" customWidth="1"/>
    <col min="2" max="2" width="9.85546875" style="113" customWidth="1"/>
    <col min="3" max="5" width="19.42578125" style="113" customWidth="1"/>
    <col min="6" max="10" width="19.42578125" style="120" customWidth="1"/>
    <col min="11" max="11" width="9.5703125" style="120" customWidth="1"/>
    <col min="12" max="12" width="9.85546875" style="120" customWidth="1"/>
    <col min="13" max="17" width="9.140625" style="120"/>
    <col min="18" max="18" width="16" style="120" customWidth="1"/>
    <col min="19" max="19" width="14.140625" style="120" customWidth="1"/>
    <col min="20" max="16384" width="9.140625" style="120"/>
  </cols>
  <sheetData>
    <row r="1" spans="1:20" ht="27.75" customHeight="1">
      <c r="A1" s="343" t="s">
        <v>181</v>
      </c>
      <c r="B1" s="343"/>
      <c r="C1" s="343"/>
      <c r="D1" s="343"/>
      <c r="E1" s="343"/>
      <c r="F1" s="343"/>
      <c r="G1" s="343"/>
      <c r="H1" s="343"/>
      <c r="I1" s="343"/>
      <c r="J1" s="343"/>
    </row>
    <row r="2" spans="1:20">
      <c r="A2" s="11"/>
      <c r="B2" s="11"/>
      <c r="C2" s="59"/>
      <c r="D2" s="59"/>
      <c r="E2" s="59"/>
      <c r="F2" s="11"/>
      <c r="G2" s="11"/>
      <c r="H2" s="11"/>
      <c r="I2" s="11"/>
      <c r="J2" s="11"/>
    </row>
    <row r="3" spans="1:20" ht="43.5" customHeight="1">
      <c r="A3" s="351" t="s">
        <v>209</v>
      </c>
      <c r="B3" s="352" t="s">
        <v>18</v>
      </c>
      <c r="C3" s="352" t="s">
        <v>513</v>
      </c>
      <c r="D3" s="352" t="s">
        <v>596</v>
      </c>
      <c r="E3" s="370" t="s">
        <v>805</v>
      </c>
      <c r="F3" s="352" t="s">
        <v>595</v>
      </c>
      <c r="G3" s="352" t="s">
        <v>161</v>
      </c>
      <c r="H3" s="352"/>
      <c r="I3" s="352"/>
      <c r="J3" s="352"/>
    </row>
    <row r="4" spans="1:20" ht="56.25" customHeight="1">
      <c r="A4" s="351"/>
      <c r="B4" s="352"/>
      <c r="C4" s="352"/>
      <c r="D4" s="352"/>
      <c r="E4" s="370"/>
      <c r="F4" s="352"/>
      <c r="G4" s="99" t="s">
        <v>162</v>
      </c>
      <c r="H4" s="99" t="s">
        <v>163</v>
      </c>
      <c r="I4" s="99" t="s">
        <v>164</v>
      </c>
      <c r="J4" s="99" t="s">
        <v>71</v>
      </c>
    </row>
    <row r="5" spans="1:20">
      <c r="A5" s="126">
        <v>1</v>
      </c>
      <c r="B5" s="129">
        <v>2</v>
      </c>
      <c r="C5" s="129">
        <v>3</v>
      </c>
      <c r="D5" s="129">
        <v>4</v>
      </c>
      <c r="E5" s="129">
        <v>5</v>
      </c>
      <c r="F5" s="129">
        <v>6</v>
      </c>
      <c r="G5" s="129">
        <v>7</v>
      </c>
      <c r="H5" s="129">
        <v>8</v>
      </c>
      <c r="I5" s="129">
        <v>9</v>
      </c>
      <c r="J5" s="129">
        <v>10</v>
      </c>
    </row>
    <row r="6" spans="1:20" s="4" customFormat="1" ht="42.75" customHeight="1">
      <c r="A6" s="176" t="s">
        <v>85</v>
      </c>
      <c r="B6" s="246">
        <v>4000</v>
      </c>
      <c r="C6" s="79">
        <f>SUM(C7:C12)</f>
        <v>18996</v>
      </c>
      <c r="D6" s="79">
        <f>SUM(D7:D12)</f>
        <v>52211</v>
      </c>
      <c r="E6" s="79">
        <f>SUM(E7:E12)</f>
        <v>23155</v>
      </c>
      <c r="F6" s="79">
        <f>SUM(G6:J6)</f>
        <v>42050</v>
      </c>
      <c r="G6" s="79">
        <f>SUM(G7:G12)</f>
        <v>549</v>
      </c>
      <c r="H6" s="79">
        <f>SUM(H7:H12)</f>
        <v>856</v>
      </c>
      <c r="I6" s="79">
        <f>SUM(I7:I12)</f>
        <v>12898</v>
      </c>
      <c r="J6" s="79">
        <f>SUM(J7:J12)</f>
        <v>27747</v>
      </c>
    </row>
    <row r="7" spans="1:20" ht="20.100000000000001" customHeight="1">
      <c r="A7" s="143" t="s">
        <v>1</v>
      </c>
      <c r="B7" s="247" t="s">
        <v>187</v>
      </c>
      <c r="C7" s="72">
        <v>954.6</v>
      </c>
      <c r="D7" s="72">
        <v>18521</v>
      </c>
      <c r="E7" s="72">
        <v>932</v>
      </c>
      <c r="F7" s="72">
        <f t="shared" ref="F7:F12" si="0">SUM(G7:J7)</f>
        <v>3747</v>
      </c>
      <c r="G7" s="72">
        <f>'6.2. Інша інфо_2'!AB29</f>
        <v>0</v>
      </c>
      <c r="H7" s="72">
        <f>'6.2. Інша інфо_2'!AC29</f>
        <v>0</v>
      </c>
      <c r="I7" s="72">
        <f>'6.2. Інша інфо_2'!AD29</f>
        <v>0</v>
      </c>
      <c r="J7" s="72">
        <f>'6.2. Інша інфо_2'!AE29</f>
        <v>3747</v>
      </c>
      <c r="Q7" s="70"/>
      <c r="R7" s="70"/>
      <c r="S7" s="70"/>
      <c r="T7" s="70"/>
    </row>
    <row r="8" spans="1:20" ht="20.100000000000001" customHeight="1">
      <c r="A8" s="143" t="s">
        <v>2</v>
      </c>
      <c r="B8" s="246">
        <v>4020</v>
      </c>
      <c r="C8" s="72">
        <v>15893.9</v>
      </c>
      <c r="D8" s="72">
        <v>26918</v>
      </c>
      <c r="E8" s="72">
        <v>19570</v>
      </c>
      <c r="F8" s="72">
        <f t="shared" si="0"/>
        <v>21063</v>
      </c>
      <c r="G8" s="72">
        <f>'6.2. Інша інфо_2'!AB34</f>
        <v>46</v>
      </c>
      <c r="H8" s="72">
        <f>'6.2. Інша інфо_2'!AC34</f>
        <v>564</v>
      </c>
      <c r="I8" s="72">
        <f>'6.2. Інша інфо_2'!AD34</f>
        <v>2748</v>
      </c>
      <c r="J8" s="72">
        <f>'6.2. Інша інфо_2'!AE34</f>
        <v>17705</v>
      </c>
      <c r="Q8" s="70"/>
      <c r="R8" s="70"/>
      <c r="S8" s="70"/>
      <c r="T8" s="70"/>
    </row>
    <row r="9" spans="1:20" ht="20.100000000000001" customHeight="1">
      <c r="A9" s="143" t="s">
        <v>32</v>
      </c>
      <c r="B9" s="247">
        <v>4030</v>
      </c>
      <c r="C9" s="72">
        <v>1724.1</v>
      </c>
      <c r="D9" s="72">
        <v>1597</v>
      </c>
      <c r="E9" s="72">
        <v>1077</v>
      </c>
      <c r="F9" s="72">
        <f t="shared" si="0"/>
        <v>1249</v>
      </c>
      <c r="G9" s="72">
        <f>'6.2. Інша інфо_2'!W43</f>
        <v>371</v>
      </c>
      <c r="H9" s="72">
        <f>'6.2. Інша інфо_2'!X43</f>
        <v>192</v>
      </c>
      <c r="I9" s="72">
        <f>'6.2. Інша інфо_2'!Y43</f>
        <v>285</v>
      </c>
      <c r="J9" s="72">
        <f>'6.2. Інша інфо_2'!Z43</f>
        <v>401</v>
      </c>
      <c r="P9" s="9"/>
      <c r="Q9" s="70"/>
      <c r="R9" s="70"/>
      <c r="S9" s="70"/>
      <c r="T9" s="70"/>
    </row>
    <row r="10" spans="1:20" ht="20.100000000000001" customHeight="1">
      <c r="A10" s="143" t="s">
        <v>3</v>
      </c>
      <c r="B10" s="246">
        <v>4040</v>
      </c>
      <c r="C10" s="72">
        <v>323.39999999999998</v>
      </c>
      <c r="D10" s="72">
        <v>625</v>
      </c>
      <c r="E10" s="72">
        <v>379</v>
      </c>
      <c r="F10" s="72">
        <f t="shared" si="0"/>
        <v>1331</v>
      </c>
      <c r="G10" s="72">
        <f>'6.2. Інша інфо_2'!AB48</f>
        <v>132</v>
      </c>
      <c r="H10" s="72">
        <f>'6.2. Інша інфо_2'!AC48</f>
        <v>0</v>
      </c>
      <c r="I10" s="72">
        <f>'6.2. Інша інфо_2'!AD48</f>
        <v>475</v>
      </c>
      <c r="J10" s="72">
        <f>'6.2. Інша інфо_2'!AE48</f>
        <v>724</v>
      </c>
      <c r="Q10" s="70"/>
      <c r="R10" s="70"/>
      <c r="S10" s="70"/>
      <c r="T10" s="70"/>
    </row>
    <row r="11" spans="1:20" ht="37.5">
      <c r="A11" s="143" t="s">
        <v>66</v>
      </c>
      <c r="B11" s="247">
        <v>4050</v>
      </c>
      <c r="C11" s="72">
        <v>100</v>
      </c>
      <c r="D11" s="248">
        <v>4550</v>
      </c>
      <c r="E11" s="248">
        <f>297+900</f>
        <v>1197</v>
      </c>
      <c r="F11" s="72">
        <f t="shared" si="0"/>
        <v>9660</v>
      </c>
      <c r="G11" s="72">
        <f>'6.2. Інша інфо_2'!AB52</f>
        <v>0</v>
      </c>
      <c r="H11" s="72">
        <f>'6.2. Інша інфо_2'!AC52</f>
        <v>100</v>
      </c>
      <c r="I11" s="72">
        <f>'6.2. Інша інфо_2'!AD52</f>
        <v>4390</v>
      </c>
      <c r="J11" s="72">
        <f>'6.2. Інша інфо_2'!AE52</f>
        <v>5170</v>
      </c>
      <c r="Q11" s="70"/>
      <c r="R11" s="70"/>
      <c r="S11" s="70"/>
      <c r="T11" s="70"/>
    </row>
    <row r="12" spans="1:20">
      <c r="A12" s="143" t="s">
        <v>326</v>
      </c>
      <c r="B12" s="249">
        <v>4060</v>
      </c>
      <c r="C12" s="73"/>
      <c r="D12" s="73"/>
      <c r="E12" s="73"/>
      <c r="F12" s="73">
        <f t="shared" si="0"/>
        <v>5000</v>
      </c>
      <c r="G12" s="73">
        <f>'6.2. Інша інфо_2'!W57</f>
        <v>0</v>
      </c>
      <c r="H12" s="73">
        <f>'6.2. Інша інфо_2'!X57</f>
        <v>0</v>
      </c>
      <c r="I12" s="73">
        <f>'6.2. Інша інфо_2'!Y57</f>
        <v>5000</v>
      </c>
      <c r="J12" s="73">
        <f>'6.2. Інша інфо_2'!Z57</f>
        <v>0</v>
      </c>
      <c r="Q12" s="70"/>
      <c r="R12" s="70"/>
      <c r="S12" s="70"/>
      <c r="T12" s="70"/>
    </row>
    <row r="13" spans="1:20" ht="20.100000000000001" customHeight="1">
      <c r="B13" s="120"/>
      <c r="C13" s="120"/>
      <c r="D13" s="120"/>
      <c r="E13" s="120"/>
      <c r="F13" s="250"/>
      <c r="G13" s="250"/>
      <c r="H13" s="250"/>
      <c r="I13" s="250"/>
      <c r="J13" s="250"/>
    </row>
    <row r="14" spans="1:20" ht="20.100000000000001" customHeight="1">
      <c r="B14" s="120"/>
      <c r="C14" s="120"/>
      <c r="D14" s="120"/>
      <c r="E14" s="120"/>
      <c r="F14" s="250"/>
      <c r="G14" s="250"/>
      <c r="H14" s="250"/>
      <c r="I14" s="250"/>
      <c r="J14" s="250"/>
    </row>
    <row r="15" spans="1:20" s="81" customFormat="1" ht="20.100000000000001" customHeight="1">
      <c r="A15" s="116"/>
      <c r="C15" s="120"/>
      <c r="D15" s="120"/>
      <c r="E15" s="120"/>
      <c r="F15" s="120"/>
      <c r="G15" s="120"/>
      <c r="H15" s="120"/>
      <c r="I15" s="120"/>
      <c r="J15" s="120"/>
      <c r="K15" s="120"/>
    </row>
    <row r="16" spans="1:20" ht="20.100000000000001" customHeight="1">
      <c r="A16" s="115" t="str">
        <f>'Осн. фін. пок.'!A144</f>
        <v>Т.в.о. директора</v>
      </c>
      <c r="B16" s="166"/>
      <c r="C16" s="357" t="s">
        <v>106</v>
      </c>
      <c r="D16" s="358"/>
      <c r="E16" s="358"/>
      <c r="F16" s="358"/>
      <c r="G16" s="77"/>
      <c r="H16" s="359" t="str">
        <f>'Осн. фін. пок.'!H144</f>
        <v>Р.М. Мікрух</v>
      </c>
      <c r="I16" s="359"/>
      <c r="J16" s="359"/>
    </row>
    <row r="17" spans="1:10" s="81" customFormat="1" ht="20.100000000000001" customHeight="1">
      <c r="A17" s="114"/>
      <c r="B17" s="120"/>
      <c r="C17" s="336" t="s">
        <v>220</v>
      </c>
      <c r="D17" s="336"/>
      <c r="E17" s="336"/>
      <c r="F17" s="336"/>
      <c r="G17" s="118"/>
      <c r="H17" s="335"/>
      <c r="I17" s="335"/>
      <c r="J17" s="335"/>
    </row>
    <row r="18" spans="1:10">
      <c r="A18" s="28"/>
    </row>
    <row r="19" spans="1:10">
      <c r="A19" s="28"/>
    </row>
    <row r="20" spans="1:10">
      <c r="A20" s="28"/>
    </row>
    <row r="21" spans="1:10">
      <c r="A21" s="28"/>
    </row>
    <row r="22" spans="1:10">
      <c r="A22" s="28"/>
    </row>
    <row r="23" spans="1:10">
      <c r="A23" s="28"/>
    </row>
    <row r="24" spans="1:10">
      <c r="A24" s="28"/>
    </row>
    <row r="25" spans="1:10">
      <c r="A25" s="28"/>
    </row>
    <row r="26" spans="1:10">
      <c r="A26" s="28"/>
    </row>
    <row r="27" spans="1:10">
      <c r="A27" s="28"/>
    </row>
    <row r="28" spans="1:10">
      <c r="A28" s="28"/>
    </row>
    <row r="29" spans="1:10">
      <c r="A29" s="28"/>
    </row>
    <row r="30" spans="1:10">
      <c r="A30" s="28"/>
    </row>
    <row r="31" spans="1:10">
      <c r="A31" s="28"/>
    </row>
    <row r="32" spans="1:10">
      <c r="A32" s="28"/>
    </row>
    <row r="33" spans="1:1">
      <c r="A33" s="28"/>
    </row>
    <row r="34" spans="1:1">
      <c r="A34" s="28"/>
    </row>
    <row r="35" spans="1:1">
      <c r="A35" s="28"/>
    </row>
    <row r="36" spans="1:1">
      <c r="A36" s="28"/>
    </row>
    <row r="37" spans="1:1">
      <c r="A37" s="28"/>
    </row>
    <row r="38" spans="1:1">
      <c r="A38" s="28"/>
    </row>
    <row r="39" spans="1:1">
      <c r="A39" s="28"/>
    </row>
    <row r="40" spans="1:1">
      <c r="A40" s="28"/>
    </row>
    <row r="41" spans="1:1">
      <c r="A41" s="28"/>
    </row>
    <row r="42" spans="1:1">
      <c r="A42" s="28"/>
    </row>
    <row r="43" spans="1:1">
      <c r="A43" s="28"/>
    </row>
    <row r="44" spans="1:1">
      <c r="A44" s="28"/>
    </row>
    <row r="45" spans="1:1">
      <c r="A45" s="28"/>
    </row>
    <row r="46" spans="1:1">
      <c r="A46" s="28"/>
    </row>
    <row r="47" spans="1:1">
      <c r="A47" s="28"/>
    </row>
    <row r="48" spans="1:1">
      <c r="A48" s="28"/>
    </row>
    <row r="49" spans="1:1">
      <c r="A49" s="28"/>
    </row>
    <row r="50" spans="1:1">
      <c r="A50" s="28"/>
    </row>
    <row r="51" spans="1:1">
      <c r="A51" s="28"/>
    </row>
    <row r="52" spans="1:1">
      <c r="A52" s="28"/>
    </row>
    <row r="53" spans="1:1">
      <c r="A53" s="28"/>
    </row>
    <row r="54" spans="1:1">
      <c r="A54" s="28"/>
    </row>
    <row r="55" spans="1:1">
      <c r="A55" s="28"/>
    </row>
    <row r="56" spans="1:1">
      <c r="A56" s="28"/>
    </row>
    <row r="57" spans="1:1">
      <c r="A57" s="28"/>
    </row>
    <row r="58" spans="1:1">
      <c r="A58" s="28"/>
    </row>
    <row r="59" spans="1:1">
      <c r="A59" s="28"/>
    </row>
    <row r="60" spans="1:1">
      <c r="A60" s="28"/>
    </row>
    <row r="61" spans="1:1">
      <c r="A61" s="28"/>
    </row>
    <row r="62" spans="1:1">
      <c r="A62" s="28"/>
    </row>
    <row r="63" spans="1:1">
      <c r="A63" s="28"/>
    </row>
    <row r="64" spans="1:1">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1">
      <c r="A97" s="28"/>
    </row>
    <row r="98" spans="1:1">
      <c r="A98" s="28"/>
    </row>
    <row r="99" spans="1:1">
      <c r="A99" s="28"/>
    </row>
    <row r="100" spans="1:1">
      <c r="A100" s="28"/>
    </row>
    <row r="101" spans="1:1">
      <c r="A101" s="28"/>
    </row>
    <row r="102" spans="1:1">
      <c r="A102" s="28"/>
    </row>
    <row r="103" spans="1:1">
      <c r="A103" s="28"/>
    </row>
    <row r="104" spans="1:1">
      <c r="A104" s="28"/>
    </row>
    <row r="105" spans="1:1">
      <c r="A105" s="28"/>
    </row>
    <row r="106" spans="1:1">
      <c r="A106" s="28"/>
    </row>
    <row r="107" spans="1:1">
      <c r="A107" s="28"/>
    </row>
    <row r="108" spans="1:1">
      <c r="A108" s="28"/>
    </row>
    <row r="109" spans="1:1">
      <c r="A109" s="28"/>
    </row>
    <row r="110" spans="1:1">
      <c r="A110" s="28"/>
    </row>
    <row r="111" spans="1:1">
      <c r="A111" s="28"/>
    </row>
    <row r="112" spans="1:1">
      <c r="A112" s="28"/>
    </row>
    <row r="113" spans="1:1">
      <c r="A113" s="28"/>
    </row>
    <row r="114" spans="1:1">
      <c r="A114" s="28"/>
    </row>
    <row r="115" spans="1:1">
      <c r="A115" s="28"/>
    </row>
    <row r="116" spans="1:1">
      <c r="A116" s="28"/>
    </row>
    <row r="117" spans="1:1">
      <c r="A117" s="28"/>
    </row>
    <row r="118" spans="1:1">
      <c r="A118" s="28"/>
    </row>
    <row r="119" spans="1:1">
      <c r="A119" s="28"/>
    </row>
    <row r="120" spans="1:1">
      <c r="A120" s="28"/>
    </row>
    <row r="121" spans="1:1">
      <c r="A121" s="28"/>
    </row>
    <row r="122" spans="1:1">
      <c r="A122" s="28"/>
    </row>
    <row r="123" spans="1:1">
      <c r="A123" s="28"/>
    </row>
    <row r="124" spans="1:1">
      <c r="A124" s="28"/>
    </row>
    <row r="125" spans="1:1">
      <c r="A125" s="28"/>
    </row>
    <row r="126" spans="1:1">
      <c r="A126" s="28"/>
    </row>
    <row r="127" spans="1:1">
      <c r="A127" s="28"/>
    </row>
    <row r="128" spans="1:1">
      <c r="A128" s="28"/>
    </row>
    <row r="129" spans="1:1">
      <c r="A129" s="28"/>
    </row>
    <row r="130" spans="1:1">
      <c r="A130" s="28"/>
    </row>
    <row r="131" spans="1:1">
      <c r="A131" s="28"/>
    </row>
    <row r="132" spans="1:1">
      <c r="A132" s="28"/>
    </row>
    <row r="133" spans="1:1">
      <c r="A133" s="28"/>
    </row>
    <row r="134" spans="1:1">
      <c r="A134" s="28"/>
    </row>
    <row r="135" spans="1:1">
      <c r="A135" s="28"/>
    </row>
    <row r="136" spans="1:1">
      <c r="A136" s="28"/>
    </row>
    <row r="137" spans="1:1">
      <c r="A137" s="28"/>
    </row>
    <row r="138" spans="1:1">
      <c r="A138" s="28"/>
    </row>
    <row r="139" spans="1:1">
      <c r="A139" s="28"/>
    </row>
    <row r="140" spans="1:1">
      <c r="A140" s="28"/>
    </row>
    <row r="141" spans="1:1">
      <c r="A141" s="28"/>
    </row>
    <row r="142" spans="1:1">
      <c r="A142" s="28"/>
    </row>
    <row r="143" spans="1:1">
      <c r="A143" s="28"/>
    </row>
    <row r="144" spans="1:1">
      <c r="A144" s="28"/>
    </row>
    <row r="145" spans="1:1">
      <c r="A145" s="28"/>
    </row>
    <row r="146" spans="1:1">
      <c r="A146" s="28"/>
    </row>
    <row r="147" spans="1:1">
      <c r="A147" s="28"/>
    </row>
    <row r="148" spans="1:1">
      <c r="A148" s="28"/>
    </row>
    <row r="149" spans="1:1">
      <c r="A149" s="28"/>
    </row>
    <row r="150" spans="1:1">
      <c r="A150" s="28"/>
    </row>
    <row r="151" spans="1:1">
      <c r="A151" s="28"/>
    </row>
    <row r="152" spans="1:1">
      <c r="A152" s="28"/>
    </row>
    <row r="153" spans="1:1">
      <c r="A153" s="28"/>
    </row>
    <row r="154" spans="1:1">
      <c r="A154" s="28"/>
    </row>
    <row r="155" spans="1:1">
      <c r="A155" s="28"/>
    </row>
    <row r="156" spans="1:1">
      <c r="A156" s="28"/>
    </row>
    <row r="157" spans="1:1">
      <c r="A157" s="28"/>
    </row>
    <row r="158" spans="1:1">
      <c r="A158" s="28"/>
    </row>
    <row r="159" spans="1:1">
      <c r="A159" s="28"/>
    </row>
    <row r="160" spans="1:1">
      <c r="A160" s="28"/>
    </row>
    <row r="161" spans="1:1">
      <c r="A161" s="28"/>
    </row>
    <row r="162" spans="1:1">
      <c r="A162" s="28"/>
    </row>
    <row r="163" spans="1:1">
      <c r="A163" s="28"/>
    </row>
    <row r="164" spans="1:1">
      <c r="A164" s="28"/>
    </row>
    <row r="165" spans="1:1">
      <c r="A165" s="28"/>
    </row>
    <row r="166" spans="1:1">
      <c r="A166" s="28"/>
    </row>
    <row r="167" spans="1:1">
      <c r="A167" s="28"/>
    </row>
    <row r="168" spans="1:1">
      <c r="A168" s="28"/>
    </row>
    <row r="169" spans="1:1">
      <c r="A169" s="28"/>
    </row>
    <row r="170" spans="1:1">
      <c r="A170" s="28"/>
    </row>
    <row r="171" spans="1:1">
      <c r="A171" s="28"/>
    </row>
  </sheetData>
  <mergeCells count="12">
    <mergeCell ref="A1:J1"/>
    <mergeCell ref="B3:B4"/>
    <mergeCell ref="C3:C4"/>
    <mergeCell ref="D3:D4"/>
    <mergeCell ref="F3:F4"/>
    <mergeCell ref="G3:J3"/>
    <mergeCell ref="E3:E4"/>
    <mergeCell ref="C16:F16"/>
    <mergeCell ref="H16:J16"/>
    <mergeCell ref="C17:F17"/>
    <mergeCell ref="H17:J17"/>
    <mergeCell ref="A3:A4"/>
  </mergeCells>
  <phoneticPr fontId="0" type="noConversion"/>
  <pageMargins left="0.59055118110236227" right="0.39370078740157483" top="0.78740157480314965" bottom="0.78740157480314965" header="0.39370078740157483" footer="0.31496062992125984"/>
  <pageSetup paperSize="9" scale="55" firstPageNumber="9" orientation="landscape" useFirstPageNumber="1" r:id="rId1"/>
  <headerFooter alignWithMargins="0">
    <oddHeader>&amp;C&amp;"Times New Roman,обычный"&amp;14 11&amp;R&amp;"Times New Roman,обычный"&amp;14
Продовження додатка 1 
Таблиця 4</oddHeader>
  </headerFooter>
  <ignoredErrors>
    <ignoredError sqref="B7" numberStoredAsText="1"/>
    <ignoredError sqref="F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26"/>
  <sheetViews>
    <sheetView tabSelected="1" zoomScale="70" zoomScaleNormal="70" zoomScaleSheetLayoutView="75" workbookViewId="0">
      <selection activeCell="E11" sqref="E11"/>
    </sheetView>
  </sheetViews>
  <sheetFormatPr defaultRowHeight="12.75"/>
  <cols>
    <col min="1" max="1" width="94.28515625" style="48" customWidth="1"/>
    <col min="2" max="2" width="19.42578125" style="48" customWidth="1"/>
    <col min="3" max="3" width="25" style="48" customWidth="1"/>
    <col min="4" max="4" width="20.7109375" style="48" customWidth="1"/>
    <col min="5" max="5" width="22.140625" style="48" customWidth="1"/>
    <col min="6" max="6" width="21" style="48" customWidth="1"/>
    <col min="7" max="7" width="24.42578125" style="48" customWidth="1"/>
    <col min="8" max="8" width="91.85546875" style="14" customWidth="1"/>
    <col min="9" max="9" width="9.5703125" style="14" customWidth="1"/>
    <col min="10" max="16384" width="9.140625" style="14"/>
  </cols>
  <sheetData>
    <row r="1" spans="1:8" ht="25.5" customHeight="1">
      <c r="A1" s="374" t="s">
        <v>183</v>
      </c>
      <c r="B1" s="374"/>
      <c r="C1" s="374"/>
      <c r="D1" s="374"/>
      <c r="E1" s="374"/>
      <c r="F1" s="374"/>
      <c r="G1" s="374"/>
      <c r="H1" s="374"/>
    </row>
    <row r="2" spans="1:8" ht="51" customHeight="1">
      <c r="D2" s="66"/>
      <c r="E2" s="66"/>
      <c r="F2" s="66"/>
      <c r="G2" s="66"/>
    </row>
    <row r="3" spans="1:8" ht="45" customHeight="1">
      <c r="A3" s="378" t="s">
        <v>209</v>
      </c>
      <c r="B3" s="378" t="s">
        <v>0</v>
      </c>
      <c r="C3" s="378" t="s">
        <v>101</v>
      </c>
      <c r="D3" s="380" t="s">
        <v>513</v>
      </c>
      <c r="E3" s="380" t="s">
        <v>596</v>
      </c>
      <c r="F3" s="385" t="s">
        <v>805</v>
      </c>
      <c r="G3" s="380" t="s">
        <v>599</v>
      </c>
      <c r="H3" s="375" t="s">
        <v>102</v>
      </c>
    </row>
    <row r="4" spans="1:8" ht="52.5" customHeight="1">
      <c r="A4" s="379"/>
      <c r="B4" s="379"/>
      <c r="C4" s="379"/>
      <c r="D4" s="381"/>
      <c r="E4" s="381"/>
      <c r="F4" s="386"/>
      <c r="G4" s="381"/>
      <c r="H4" s="376"/>
    </row>
    <row r="5" spans="1:8" s="33" customFormat="1" ht="18" customHeight="1">
      <c r="A5" s="49">
        <v>1</v>
      </c>
      <c r="B5" s="49">
        <v>2</v>
      </c>
      <c r="C5" s="49">
        <v>3</v>
      </c>
      <c r="D5" s="49">
        <v>4</v>
      </c>
      <c r="E5" s="49">
        <v>5</v>
      </c>
      <c r="F5" s="49">
        <v>6</v>
      </c>
      <c r="G5" s="49">
        <v>7</v>
      </c>
      <c r="H5" s="18">
        <v>8</v>
      </c>
    </row>
    <row r="6" spans="1:8" s="33" customFormat="1" ht="20.100000000000001" customHeight="1">
      <c r="A6" s="67" t="s">
        <v>158</v>
      </c>
      <c r="B6" s="67"/>
      <c r="C6" s="49"/>
      <c r="D6" s="49"/>
      <c r="E6" s="49"/>
      <c r="F6" s="49"/>
      <c r="G6" s="49"/>
      <c r="H6" s="18"/>
    </row>
    <row r="7" spans="1:8" ht="56.25">
      <c r="A7" s="56" t="s">
        <v>404</v>
      </c>
      <c r="B7" s="65">
        <v>5000</v>
      </c>
      <c r="C7" s="50" t="s">
        <v>237</v>
      </c>
      <c r="D7" s="51">
        <f>('Осн. фін. пок.'!C55/'Осн. фін. пок.'!C53)*100</f>
        <v>-17777.95275590551</v>
      </c>
      <c r="E7" s="51">
        <f>('Осн. фін. пок.'!D55/'Осн. фін. пок.'!D53)*100</f>
        <v>-30798.340248962653</v>
      </c>
      <c r="F7" s="51">
        <f>('Осн. фін. пок.'!E55/'Осн. фін. пок.'!E53)*100</f>
        <v>-18540.46875</v>
      </c>
      <c r="G7" s="51">
        <f>('Осн. фін. пок.'!F55/'Осн. фін. пок.'!F53)*100</f>
        <v>-29974.49799196787</v>
      </c>
      <c r="H7" s="44"/>
    </row>
    <row r="8" spans="1:8" ht="56.25">
      <c r="A8" s="56" t="s">
        <v>405</v>
      </c>
      <c r="B8" s="65">
        <v>5010</v>
      </c>
      <c r="C8" s="50" t="s">
        <v>237</v>
      </c>
      <c r="D8" s="51">
        <f>('Осн. фін. пок.'!C61/'Осн. фін. пок.'!C53)*100</f>
        <v>2269.0419947506566</v>
      </c>
      <c r="E8" s="51">
        <f>('Осн. фін. пок.'!D61/'Осн. фін. пок.'!D53)*100</f>
        <v>678.00829875518673</v>
      </c>
      <c r="F8" s="51">
        <f>('Осн. фін. пок.'!E61/'Осн. фін. пок.'!E53)*100</f>
        <v>1416.09375</v>
      </c>
      <c r="G8" s="51">
        <f>('Осн. фін. пок.'!F61/'Осн. фін. пок.'!F53)*100</f>
        <v>1624.6987951807228</v>
      </c>
      <c r="H8" s="44"/>
    </row>
    <row r="9" spans="1:8" ht="42.75" customHeight="1">
      <c r="A9" s="68" t="s">
        <v>407</v>
      </c>
      <c r="B9" s="65">
        <v>5020</v>
      </c>
      <c r="C9" s="50" t="s">
        <v>237</v>
      </c>
      <c r="D9" s="51">
        <f>('Осн. фін. пок.'!C74/'Осн. фін. пок.'!C114)*100</f>
        <v>7.6384109397389173</v>
      </c>
      <c r="E9" s="51">
        <f>('Осн. фін. пок.'!D74/'Осн. фін. пок.'!D114)*100</f>
        <v>1.528255750769788</v>
      </c>
      <c r="F9" s="51">
        <f>('Осн. фін. пок.'!E74/'Осн. фін. пок.'!E114)*100</f>
        <v>2.7320009103859868</v>
      </c>
      <c r="G9" s="51">
        <f>('Осн. фін. пок.'!F74/'Осн. фін. пок.'!F114)*100</f>
        <v>2.9297003585865458</v>
      </c>
      <c r="H9" s="44" t="s">
        <v>238</v>
      </c>
    </row>
    <row r="10" spans="1:8" ht="42.75" customHeight="1">
      <c r="A10" s="68" t="s">
        <v>408</v>
      </c>
      <c r="B10" s="65">
        <v>5030</v>
      </c>
      <c r="C10" s="50" t="s">
        <v>237</v>
      </c>
      <c r="D10" s="51">
        <f>('Осн. фін. пок.'!C74/'Осн. фін. пок.'!C120)*100</f>
        <v>14.616821219219933</v>
      </c>
      <c r="E10" s="51">
        <f>('Осн. фін. пок.'!D74/'Осн. фін. пок.'!D120)*100</f>
        <v>3.0244984373424741</v>
      </c>
      <c r="F10" s="51">
        <f>('Осн. фін. пок.'!E74/'Осн. фін. пок.'!E120)*100</f>
        <v>7.1115889716611633</v>
      </c>
      <c r="G10" s="51">
        <f>('Осн. фін. пок.'!F74/'Осн. фін. пок.'!F120)*100</f>
        <v>7.6086584823718493</v>
      </c>
      <c r="H10" s="44"/>
    </row>
    <row r="11" spans="1:8" ht="56.25">
      <c r="A11" s="68" t="s">
        <v>406</v>
      </c>
      <c r="B11" s="65">
        <v>5040</v>
      </c>
      <c r="C11" s="50" t="s">
        <v>237</v>
      </c>
      <c r="D11" s="51">
        <f>('Осн. фін. пок.'!C74/'Осн. фін. пок.'!C53)*100</f>
        <v>1776.9028871391076</v>
      </c>
      <c r="E11" s="51">
        <f>('Осн. фін. пок.'!D74/'Осн. фін. пок.'!D53)*100</f>
        <v>560.16597510373435</v>
      </c>
      <c r="F11" s="51">
        <f>('Осн. фін. пок.'!E74/'Осн. фін. пок.'!E53)*100</f>
        <v>1012.8125000000001</v>
      </c>
      <c r="G11" s="51">
        <f>('Осн. фін. пок.'!F74/'Осн. фін. пок.'!F53)*100</f>
        <v>1340.3614457831327</v>
      </c>
      <c r="H11" s="44" t="s">
        <v>239</v>
      </c>
    </row>
    <row r="12" spans="1:8" ht="20.100000000000001" customHeight="1">
      <c r="A12" s="67" t="s">
        <v>160</v>
      </c>
      <c r="B12" s="65"/>
      <c r="C12" s="45"/>
      <c r="D12" s="51"/>
      <c r="E12" s="51"/>
      <c r="F12" s="51"/>
      <c r="G12" s="51"/>
      <c r="H12" s="44"/>
    </row>
    <row r="13" spans="1:8" ht="56.25">
      <c r="A13" s="69" t="s">
        <v>366</v>
      </c>
      <c r="B13" s="65">
        <v>5100</v>
      </c>
      <c r="C13" s="50"/>
      <c r="D13" s="51">
        <f>('Осн. фін. пок.'!C115+'Осн. фін. пок.'!C116)/'Осн. фін. пок.'!C61</f>
        <v>4.8946506960630645</v>
      </c>
      <c r="E13" s="51">
        <f>('Осн. фін. пок.'!D115+'Осн. фін. пок.'!D116)/'Осн. фін. пок.'!D61</f>
        <v>26.744492044063648</v>
      </c>
      <c r="F13" s="51">
        <f>('Осн. фін. пок.'!E115+'Осн. фін. пок.'!E116)/'Осн. фін. пок.'!E61</f>
        <v>16.122144985104271</v>
      </c>
      <c r="G13" s="51">
        <f>('Осн. фін. пок.'!F115+'Осн. фін. пок.'!F116)/'Осн. фін. пок.'!F61</f>
        <v>17.316771721666047</v>
      </c>
      <c r="H13" s="44"/>
    </row>
    <row r="14" spans="1:8" s="33" customFormat="1" ht="56.25">
      <c r="A14" s="69" t="s">
        <v>394</v>
      </c>
      <c r="B14" s="65">
        <v>5110</v>
      </c>
      <c r="C14" s="50" t="s">
        <v>155</v>
      </c>
      <c r="D14" s="51">
        <f>'Осн. фін. пок.'!C120/('Осн. фін. пок.'!C115+'Осн. фін. пок.'!C116)</f>
        <v>1.0945775088917511</v>
      </c>
      <c r="E14" s="51">
        <f>'Осн. фін. пок.'!D120/('Осн. фін. пок.'!D115+'Осн. фін. пок.'!D116)</f>
        <v>1.0213956362055354</v>
      </c>
      <c r="F14" s="51">
        <f>'Осн. фін. пок.'!E120/('Осн. фін. пок.'!E115+'Осн. фін. пок.'!E116)</f>
        <v>0.62380316873695374</v>
      </c>
      <c r="G14" s="51">
        <f>'Осн. фін. пок.'!F120/('Осн. фін. пок.'!F115+'Осн. фін. пок.'!F116)</f>
        <v>0.62614374420098495</v>
      </c>
      <c r="H14" s="44" t="s">
        <v>240</v>
      </c>
    </row>
    <row r="15" spans="1:8" s="33" customFormat="1" ht="56.25">
      <c r="A15" s="69" t="s">
        <v>395</v>
      </c>
      <c r="B15" s="65">
        <v>5120</v>
      </c>
      <c r="C15" s="50" t="s">
        <v>155</v>
      </c>
      <c r="D15" s="51">
        <f>'Осн. фін. пок.'!C112/'Осн. фін. пок.'!C116</f>
        <v>2.3079251423921887</v>
      </c>
      <c r="E15" s="51">
        <f>'Осн. фін. пок.'!D112/'Осн. фін. пок.'!D116</f>
        <v>2.3238259973502133</v>
      </c>
      <c r="F15" s="51">
        <f>'Осн. фін. пок.'!E112/'Осн. фін. пок.'!E116</f>
        <v>2.0804901404454532</v>
      </c>
      <c r="G15" s="51">
        <f>'Осн. фін. пок.'!F112/'Осн. фін. пок.'!F116</f>
        <v>2.1196848052334225</v>
      </c>
      <c r="H15" s="44" t="s">
        <v>242</v>
      </c>
    </row>
    <row r="16" spans="1:8" ht="20.100000000000001" customHeight="1">
      <c r="A16" s="67" t="s">
        <v>159</v>
      </c>
      <c r="B16" s="65"/>
      <c r="C16" s="50"/>
      <c r="D16" s="51"/>
      <c r="E16" s="51"/>
      <c r="F16" s="51"/>
      <c r="G16" s="51"/>
      <c r="H16" s="44"/>
    </row>
    <row r="17" spans="1:10" ht="42.75" customHeight="1">
      <c r="A17" s="69" t="s">
        <v>396</v>
      </c>
      <c r="B17" s="65">
        <v>5200</v>
      </c>
      <c r="C17" s="50"/>
      <c r="D17" s="51">
        <f>'IV. Кап. інвестиції'!C6/'I. Фін результат'!C145</f>
        <v>1.9328449328449329</v>
      </c>
      <c r="E17" s="51">
        <f>'IV. Кап. інвестиції'!D6/'I. Фін результат'!D145</f>
        <v>3.3447149263292761</v>
      </c>
      <c r="F17" s="51">
        <f>'IV. Кап. інвестиції'!E6/'I. Фін результат'!E145</f>
        <v>1.5307066834137635</v>
      </c>
      <c r="G17" s="51">
        <f>'IV. Кап. інвестиції'!F6/'I. Фін результат'!F145</f>
        <v>2.3889330757868423</v>
      </c>
      <c r="H17" s="44"/>
    </row>
    <row r="18" spans="1:10" ht="75">
      <c r="A18" s="69" t="s">
        <v>397</v>
      </c>
      <c r="B18" s="65">
        <v>5210</v>
      </c>
      <c r="C18" s="50"/>
      <c r="D18" s="51">
        <f>'Осн. фін. пок.'!C100/'Осн. фін. пок.'!C53</f>
        <v>24.929133858267715</v>
      </c>
      <c r="E18" s="51">
        <f>'Осн. фін. пок.'!D100/'Осн. фін. пок.'!D53</f>
        <v>108.32157676348548</v>
      </c>
      <c r="F18" s="51">
        <f>'Осн. фін. пок.'!E100/'Осн. фін. пок.'!E53</f>
        <v>36.1796875</v>
      </c>
      <c r="G18" s="51">
        <f>'Осн. фін. пок.'!F100/'Осн. фін. пок.'!F53</f>
        <v>84.437751004016064</v>
      </c>
      <c r="H18" s="44"/>
    </row>
    <row r="19" spans="1:10" ht="42.75" customHeight="1">
      <c r="A19" s="69" t="s">
        <v>398</v>
      </c>
      <c r="B19" s="65">
        <v>5220</v>
      </c>
      <c r="C19" s="50" t="s">
        <v>327</v>
      </c>
      <c r="D19" s="51">
        <f>'Осн. фін. пок.'!C111/'Осн. фін. пок.'!C110</f>
        <v>0.46868962739681203</v>
      </c>
      <c r="E19" s="51">
        <f>'Осн. фін. пок.'!D111/'Осн. фін. пок.'!D110</f>
        <v>0.46995684469609172</v>
      </c>
      <c r="F19" s="51">
        <f>'Осн. фін. пок.'!E111/'Осн. фін. пок.'!E110</f>
        <v>0.45954656707600117</v>
      </c>
      <c r="G19" s="51">
        <f>'Осн. фін. пок.'!F111/'Осн. фін. пок.'!F110</f>
        <v>0.45211245715075166</v>
      </c>
      <c r="H19" s="44" t="s">
        <v>241</v>
      </c>
    </row>
    <row r="20" spans="1:10" ht="20.100000000000001" customHeight="1">
      <c r="A20" s="67" t="s">
        <v>215</v>
      </c>
      <c r="B20" s="65"/>
      <c r="C20" s="50"/>
      <c r="D20" s="51"/>
      <c r="E20" s="51"/>
      <c r="F20" s="51"/>
      <c r="G20" s="51"/>
      <c r="H20" s="44"/>
    </row>
    <row r="21" spans="1:10" ht="75">
      <c r="A21" s="68" t="s">
        <v>248</v>
      </c>
      <c r="B21" s="65">
        <v>5300</v>
      </c>
      <c r="C21" s="50"/>
      <c r="D21" s="51"/>
      <c r="E21" s="51"/>
      <c r="F21" s="51"/>
      <c r="G21" s="51"/>
      <c r="H21" s="44"/>
    </row>
    <row r="22" spans="1:10" ht="20.100000000000001" customHeight="1"/>
    <row r="23" spans="1:10" ht="20.100000000000001" customHeight="1"/>
    <row r="24" spans="1:10" ht="20.100000000000001" customHeight="1"/>
    <row r="25" spans="1:10" s="112" customFormat="1" ht="20.100000000000001" customHeight="1">
      <c r="A25" s="64" t="str">
        <f>'Осн. фін. пок.'!A144</f>
        <v>Т.в.о. директора</v>
      </c>
      <c r="B25" s="53"/>
      <c r="C25" s="382" t="s">
        <v>106</v>
      </c>
      <c r="D25" s="383"/>
      <c r="E25" s="383"/>
      <c r="F25" s="383"/>
      <c r="G25" s="77"/>
      <c r="H25" s="359" t="str">
        <f>'Осн. фін. пок.'!H144</f>
        <v>Р.М. Мікрух</v>
      </c>
      <c r="I25" s="359"/>
      <c r="J25" s="359"/>
    </row>
    <row r="26" spans="1:10" s="1" customFormat="1" ht="20.100000000000001" customHeight="1">
      <c r="A26" s="61"/>
      <c r="B26" s="62"/>
      <c r="C26" s="384" t="s">
        <v>220</v>
      </c>
      <c r="D26" s="384"/>
      <c r="E26" s="384"/>
      <c r="F26" s="384"/>
      <c r="G26" s="63"/>
      <c r="H26" s="377"/>
      <c r="I26" s="377"/>
      <c r="J26" s="377"/>
    </row>
  </sheetData>
  <mergeCells count="13">
    <mergeCell ref="A1:H1"/>
    <mergeCell ref="H3:H4"/>
    <mergeCell ref="H25:J25"/>
    <mergeCell ref="H26:J26"/>
    <mergeCell ref="A3:A4"/>
    <mergeCell ref="B3:B4"/>
    <mergeCell ref="C3:C4"/>
    <mergeCell ref="D3:D4"/>
    <mergeCell ref="C25:F25"/>
    <mergeCell ref="C26:F26"/>
    <mergeCell ref="E3:E4"/>
    <mergeCell ref="F3:F4"/>
    <mergeCell ref="G3:G4"/>
  </mergeCells>
  <phoneticPr fontId="7" type="noConversion"/>
  <pageMargins left="0.59055118110236227" right="0.59055118110236227" top="0.78740157480314965" bottom="0.78740157480314965" header="0.47244094488188981" footer="0.31496062992125984"/>
  <pageSetup paperSize="9" scale="40" orientation="landscape" r:id="rId1"/>
  <headerFooter alignWithMargins="0">
    <oddHeader>&amp;C&amp;"Times New Roman,обычный"&amp;14
 12&amp;R
&amp;"Times New Roman,обычный"&amp;14Продовження  додатка 1
Таблиця 5</oddHeader>
  </headerFooter>
  <ignoredErrors>
    <ignoredError sqref="G19 G17:G18 G15 G14 G13 G11 G10 G9 G7:G8 G16 G12"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Q95"/>
  <sheetViews>
    <sheetView topLeftCell="A44" zoomScale="85" zoomScaleNormal="85" zoomScaleSheetLayoutView="40" workbookViewId="0">
      <selection activeCell="M54" sqref="M54"/>
    </sheetView>
  </sheetViews>
  <sheetFormatPr defaultRowHeight="18.75"/>
  <cols>
    <col min="1" max="1" width="44.85546875" style="81" customWidth="1"/>
    <col min="2" max="2" width="13.5703125" style="256" customWidth="1"/>
    <col min="3" max="3" width="12.7109375" style="81" customWidth="1"/>
    <col min="4" max="4" width="16.140625" style="81" customWidth="1"/>
    <col min="5" max="5" width="15.42578125" style="81" customWidth="1"/>
    <col min="6" max="6" width="16.5703125" style="81" customWidth="1"/>
    <col min="7" max="7" width="15.28515625" style="81" customWidth="1"/>
    <col min="8" max="8" width="16.5703125" style="81" customWidth="1"/>
    <col min="9" max="9" width="16.140625" style="81" customWidth="1"/>
    <col min="10" max="10" width="16.42578125" style="81" customWidth="1"/>
    <col min="11" max="11" width="16.5703125" style="81" customWidth="1"/>
    <col min="12" max="12" width="16.85546875" style="81" customWidth="1"/>
    <col min="13" max="15" width="16.7109375" style="81" customWidth="1"/>
    <col min="16" max="16" width="11.28515625" style="81" customWidth="1"/>
    <col min="17" max="17" width="11.5703125" style="81" bestFit="1" customWidth="1"/>
    <col min="18" max="16384" width="9.140625" style="81"/>
  </cols>
  <sheetData>
    <row r="1" spans="1:15">
      <c r="A1" s="397" t="s">
        <v>119</v>
      </c>
      <c r="B1" s="397"/>
      <c r="C1" s="397"/>
      <c r="D1" s="397"/>
      <c r="E1" s="397"/>
      <c r="F1" s="397"/>
      <c r="G1" s="397"/>
      <c r="H1" s="397"/>
      <c r="I1" s="397"/>
      <c r="J1" s="397"/>
      <c r="K1" s="397"/>
      <c r="L1" s="397"/>
      <c r="M1" s="397"/>
      <c r="N1" s="397"/>
      <c r="O1" s="397"/>
    </row>
    <row r="2" spans="1:15">
      <c r="A2" s="397" t="s">
        <v>623</v>
      </c>
      <c r="B2" s="397"/>
      <c r="C2" s="397"/>
      <c r="D2" s="397"/>
      <c r="E2" s="397"/>
      <c r="F2" s="397"/>
      <c r="G2" s="397"/>
      <c r="H2" s="397"/>
      <c r="I2" s="397"/>
      <c r="J2" s="397"/>
      <c r="K2" s="397"/>
      <c r="L2" s="397"/>
      <c r="M2" s="397"/>
      <c r="N2" s="397"/>
      <c r="O2" s="397"/>
    </row>
    <row r="3" spans="1:15">
      <c r="A3" s="331" t="s">
        <v>462</v>
      </c>
      <c r="B3" s="331"/>
      <c r="C3" s="331"/>
      <c r="D3" s="331"/>
      <c r="E3" s="331"/>
      <c r="F3" s="331"/>
      <c r="G3" s="331"/>
      <c r="H3" s="331"/>
      <c r="I3" s="331"/>
      <c r="J3" s="331"/>
      <c r="K3" s="331"/>
      <c r="L3" s="331"/>
      <c r="M3" s="331"/>
      <c r="N3" s="331"/>
      <c r="O3" s="331"/>
    </row>
    <row r="4" spans="1:15" ht="20.100000000000001" customHeight="1">
      <c r="A4" s="399" t="s">
        <v>129</v>
      </c>
      <c r="B4" s="399"/>
      <c r="C4" s="399"/>
      <c r="D4" s="399"/>
      <c r="E4" s="399"/>
      <c r="F4" s="399"/>
      <c r="G4" s="399"/>
      <c r="H4" s="399"/>
      <c r="I4" s="399"/>
      <c r="J4" s="399"/>
      <c r="K4" s="399"/>
      <c r="L4" s="399"/>
      <c r="M4" s="399"/>
      <c r="N4" s="399"/>
      <c r="O4" s="399"/>
    </row>
    <row r="5" spans="1:15" ht="21.95" customHeight="1">
      <c r="A5" s="398" t="s">
        <v>328</v>
      </c>
      <c r="B5" s="398"/>
      <c r="C5" s="398"/>
      <c r="D5" s="398"/>
      <c r="E5" s="398"/>
      <c r="F5" s="398"/>
      <c r="G5" s="398"/>
      <c r="H5" s="398"/>
      <c r="I5" s="398"/>
      <c r="J5" s="398"/>
      <c r="K5" s="398"/>
      <c r="L5" s="398"/>
      <c r="M5" s="398"/>
      <c r="N5" s="398"/>
      <c r="O5" s="398"/>
    </row>
    <row r="6" spans="1:15" ht="10.5" customHeight="1">
      <c r="A6" s="83"/>
      <c r="B6" s="83"/>
      <c r="C6" s="83"/>
      <c r="D6" s="83"/>
      <c r="E6" s="83"/>
      <c r="F6" s="83"/>
      <c r="G6" s="83"/>
      <c r="H6" s="83"/>
      <c r="I6" s="83"/>
      <c r="J6" s="83"/>
      <c r="K6" s="83"/>
      <c r="L6" s="83"/>
      <c r="M6" s="83"/>
      <c r="N6" s="83"/>
      <c r="O6" s="83"/>
    </row>
    <row r="7" spans="1:15" ht="16.5" customHeight="1">
      <c r="A7" s="400" t="s">
        <v>243</v>
      </c>
      <c r="B7" s="400"/>
      <c r="C7" s="400"/>
      <c r="D7" s="400"/>
      <c r="E7" s="400"/>
      <c r="F7" s="400"/>
      <c r="G7" s="400"/>
      <c r="H7" s="400"/>
      <c r="I7" s="400"/>
      <c r="J7" s="400"/>
      <c r="K7" s="400"/>
      <c r="L7" s="400"/>
      <c r="M7" s="400"/>
      <c r="N7" s="400"/>
      <c r="O7" s="400"/>
    </row>
    <row r="8" spans="1:15" ht="47.25" customHeight="1">
      <c r="A8" s="84"/>
      <c r="B8" s="84"/>
      <c r="C8" s="84"/>
      <c r="D8" s="84"/>
      <c r="E8" s="84"/>
      <c r="F8" s="84"/>
      <c r="G8" s="84"/>
      <c r="H8" s="59"/>
      <c r="I8" s="84"/>
      <c r="J8" s="84"/>
      <c r="K8" s="84"/>
      <c r="L8" s="84"/>
      <c r="M8" s="84"/>
      <c r="N8" s="84"/>
      <c r="O8" s="84"/>
    </row>
    <row r="9" spans="1:15" s="120" customFormat="1" ht="40.5" customHeight="1">
      <c r="A9" s="351" t="s">
        <v>209</v>
      </c>
      <c r="B9" s="351"/>
      <c r="C9" s="351"/>
      <c r="D9" s="352" t="s">
        <v>513</v>
      </c>
      <c r="E9" s="352"/>
      <c r="F9" s="352" t="s">
        <v>607</v>
      </c>
      <c r="G9" s="352"/>
      <c r="H9" s="352" t="s">
        <v>805</v>
      </c>
      <c r="I9" s="352"/>
      <c r="J9" s="352" t="s">
        <v>599</v>
      </c>
      <c r="K9" s="352"/>
      <c r="L9" s="352" t="s">
        <v>711</v>
      </c>
      <c r="M9" s="352"/>
      <c r="N9" s="352" t="s">
        <v>589</v>
      </c>
      <c r="O9" s="352"/>
    </row>
    <row r="10" spans="1:15" s="120" customFormat="1" ht="18" customHeight="1">
      <c r="A10" s="351">
        <v>1</v>
      </c>
      <c r="B10" s="351"/>
      <c r="C10" s="351"/>
      <c r="D10" s="352">
        <v>2</v>
      </c>
      <c r="E10" s="352"/>
      <c r="F10" s="352">
        <v>3</v>
      </c>
      <c r="G10" s="352"/>
      <c r="H10" s="352">
        <v>4</v>
      </c>
      <c r="I10" s="352"/>
      <c r="J10" s="352">
        <v>5</v>
      </c>
      <c r="K10" s="352"/>
      <c r="L10" s="352">
        <v>6</v>
      </c>
      <c r="M10" s="352"/>
      <c r="N10" s="352">
        <v>7</v>
      </c>
      <c r="O10" s="352"/>
    </row>
    <row r="11" spans="1:15" s="120" customFormat="1" ht="60" customHeight="1">
      <c r="A11" s="363" t="s">
        <v>337</v>
      </c>
      <c r="B11" s="364"/>
      <c r="C11" s="365"/>
      <c r="D11" s="393">
        <f>SUM(D12:D16)</f>
        <v>258</v>
      </c>
      <c r="E11" s="394"/>
      <c r="F11" s="393">
        <f t="shared" ref="F11" si="0">SUM(F12:F16)</f>
        <v>331</v>
      </c>
      <c r="G11" s="394"/>
      <c r="H11" s="393">
        <f t="shared" ref="H11" si="1">SUM(H12:H16)</f>
        <v>288</v>
      </c>
      <c r="I11" s="394"/>
      <c r="J11" s="393">
        <f t="shared" ref="J11" si="2">SUM(J12:J16)</f>
        <v>334</v>
      </c>
      <c r="K11" s="394"/>
      <c r="L11" s="395">
        <f t="shared" ref="L11" si="3">J11/H11*100</f>
        <v>115.97222222222223</v>
      </c>
      <c r="M11" s="396"/>
      <c r="N11" s="395">
        <f t="shared" ref="N11" si="4">J11/F11*100</f>
        <v>100.90634441087613</v>
      </c>
      <c r="O11" s="396"/>
    </row>
    <row r="12" spans="1:15" s="120" customFormat="1">
      <c r="A12" s="389" t="s">
        <v>649</v>
      </c>
      <c r="B12" s="324"/>
      <c r="C12" s="390"/>
      <c r="D12" s="391"/>
      <c r="E12" s="392"/>
      <c r="F12" s="391"/>
      <c r="G12" s="392"/>
      <c r="H12" s="391"/>
      <c r="I12" s="392"/>
      <c r="J12" s="391"/>
      <c r="K12" s="392"/>
      <c r="L12" s="387"/>
      <c r="M12" s="388"/>
      <c r="N12" s="387"/>
      <c r="O12" s="388"/>
    </row>
    <row r="13" spans="1:15" s="120" customFormat="1">
      <c r="A13" s="389" t="s">
        <v>650</v>
      </c>
      <c r="B13" s="324"/>
      <c r="C13" s="390"/>
      <c r="D13" s="391"/>
      <c r="E13" s="392"/>
      <c r="F13" s="391"/>
      <c r="G13" s="392"/>
      <c r="H13" s="391"/>
      <c r="I13" s="392"/>
      <c r="J13" s="391"/>
      <c r="K13" s="392"/>
      <c r="L13" s="387"/>
      <c r="M13" s="388"/>
      <c r="N13" s="387"/>
      <c r="O13" s="388"/>
    </row>
    <row r="14" spans="1:15" s="120" customFormat="1" ht="19.5" customHeight="1">
      <c r="A14" s="389" t="s">
        <v>651</v>
      </c>
      <c r="B14" s="324"/>
      <c r="C14" s="390"/>
      <c r="D14" s="391">
        <v>1</v>
      </c>
      <c r="E14" s="392"/>
      <c r="F14" s="391">
        <v>1</v>
      </c>
      <c r="G14" s="392"/>
      <c r="H14" s="391">
        <v>1</v>
      </c>
      <c r="I14" s="392"/>
      <c r="J14" s="391">
        <v>1</v>
      </c>
      <c r="K14" s="392"/>
      <c r="L14" s="387">
        <f t="shared" ref="L14:L37" si="5">J14/H14*100</f>
        <v>100</v>
      </c>
      <c r="M14" s="388"/>
      <c r="N14" s="387">
        <f t="shared" ref="N14:N37" si="6">J14/F14*100</f>
        <v>100</v>
      </c>
      <c r="O14" s="388"/>
    </row>
    <row r="15" spans="1:15" s="120" customFormat="1" ht="20.100000000000001" customHeight="1">
      <c r="A15" s="389" t="s">
        <v>216</v>
      </c>
      <c r="B15" s="324"/>
      <c r="C15" s="390"/>
      <c r="D15" s="391">
        <v>72</v>
      </c>
      <c r="E15" s="392"/>
      <c r="F15" s="391">
        <v>81</v>
      </c>
      <c r="G15" s="392"/>
      <c r="H15" s="391">
        <v>72</v>
      </c>
      <c r="I15" s="392"/>
      <c r="J15" s="391">
        <v>85</v>
      </c>
      <c r="K15" s="392"/>
      <c r="L15" s="387">
        <f t="shared" si="5"/>
        <v>118.05555555555556</v>
      </c>
      <c r="M15" s="388"/>
      <c r="N15" s="387">
        <f t="shared" si="6"/>
        <v>104.93827160493827</v>
      </c>
      <c r="O15" s="388"/>
    </row>
    <row r="16" spans="1:15" s="120" customFormat="1" ht="20.100000000000001" customHeight="1">
      <c r="A16" s="389" t="s">
        <v>208</v>
      </c>
      <c r="B16" s="324"/>
      <c r="C16" s="390"/>
      <c r="D16" s="391">
        <v>185</v>
      </c>
      <c r="E16" s="392"/>
      <c r="F16" s="391">
        <v>249</v>
      </c>
      <c r="G16" s="392"/>
      <c r="H16" s="391">
        <v>215</v>
      </c>
      <c r="I16" s="392"/>
      <c r="J16" s="391">
        <v>248</v>
      </c>
      <c r="K16" s="392"/>
      <c r="L16" s="387">
        <f t="shared" si="5"/>
        <v>115.34883720930233</v>
      </c>
      <c r="M16" s="388"/>
      <c r="N16" s="387">
        <f t="shared" si="6"/>
        <v>99.598393574297177</v>
      </c>
      <c r="O16" s="388"/>
    </row>
    <row r="17" spans="1:17" s="120" customFormat="1">
      <c r="A17" s="363" t="s">
        <v>399</v>
      </c>
      <c r="B17" s="364"/>
      <c r="C17" s="365"/>
      <c r="D17" s="395">
        <f>SUM(D18:D22)</f>
        <v>79495.399999999994</v>
      </c>
      <c r="E17" s="396"/>
      <c r="F17" s="395">
        <f t="shared" ref="F17:H17" si="7">SUM(F18:F22)</f>
        <v>99737</v>
      </c>
      <c r="G17" s="396"/>
      <c r="H17" s="395">
        <f t="shared" si="7"/>
        <v>88749.799999999988</v>
      </c>
      <c r="I17" s="396"/>
      <c r="J17" s="395">
        <f>SUM(J18:J22)</f>
        <v>106651</v>
      </c>
      <c r="K17" s="396"/>
      <c r="L17" s="395">
        <f t="shared" si="5"/>
        <v>120.17041165163191</v>
      </c>
      <c r="M17" s="396"/>
      <c r="N17" s="395">
        <f t="shared" si="6"/>
        <v>106.93223176955394</v>
      </c>
      <c r="O17" s="396"/>
      <c r="P17" s="251">
        <f>SUM(P18:P22)</f>
        <v>15347.2</v>
      </c>
      <c r="Q17" s="47"/>
    </row>
    <row r="18" spans="1:17" s="120" customFormat="1" ht="20.100000000000001" customHeight="1">
      <c r="A18" s="389" t="s">
        <v>649</v>
      </c>
      <c r="B18" s="324"/>
      <c r="C18" s="390"/>
      <c r="D18" s="387"/>
      <c r="E18" s="388"/>
      <c r="F18" s="387"/>
      <c r="G18" s="388"/>
      <c r="H18" s="387"/>
      <c r="I18" s="388"/>
      <c r="J18" s="387"/>
      <c r="K18" s="388"/>
      <c r="L18" s="387"/>
      <c r="M18" s="388"/>
      <c r="N18" s="387"/>
      <c r="O18" s="388"/>
      <c r="P18" s="47">
        <v>338.8</v>
      </c>
      <c r="Q18" s="47"/>
    </row>
    <row r="19" spans="1:17" s="120" customFormat="1" ht="20.100000000000001" customHeight="1">
      <c r="A19" s="389" t="s">
        <v>650</v>
      </c>
      <c r="B19" s="324"/>
      <c r="C19" s="390"/>
      <c r="D19" s="387"/>
      <c r="E19" s="388"/>
      <c r="F19" s="387"/>
      <c r="G19" s="388"/>
      <c r="H19" s="387"/>
      <c r="I19" s="388"/>
      <c r="J19" s="387"/>
      <c r="K19" s="388"/>
      <c r="L19" s="387"/>
      <c r="M19" s="388"/>
      <c r="N19" s="387"/>
      <c r="O19" s="388"/>
      <c r="P19" s="47"/>
      <c r="Q19" s="47"/>
    </row>
    <row r="20" spans="1:17" s="120" customFormat="1" ht="20.100000000000001" customHeight="1">
      <c r="A20" s="389" t="s">
        <v>651</v>
      </c>
      <c r="B20" s="324"/>
      <c r="C20" s="390"/>
      <c r="D20" s="387">
        <v>854.6</v>
      </c>
      <c r="E20" s="388"/>
      <c r="F20" s="387">
        <v>1668.6</v>
      </c>
      <c r="G20" s="388"/>
      <c r="H20" s="387">
        <v>987.7</v>
      </c>
      <c r="I20" s="388"/>
      <c r="J20" s="387">
        <v>1855.4</v>
      </c>
      <c r="K20" s="388"/>
      <c r="L20" s="387">
        <f t="shared" ref="L20" si="8">J20/H20*100</f>
        <v>187.85056191151159</v>
      </c>
      <c r="M20" s="388"/>
      <c r="N20" s="387">
        <f t="shared" ref="N20" si="9">J20/F20*100</f>
        <v>111.19501378401056</v>
      </c>
      <c r="O20" s="388"/>
      <c r="P20" s="47"/>
      <c r="Q20" s="47"/>
    </row>
    <row r="21" spans="1:17" s="120" customFormat="1" ht="20.100000000000001" customHeight="1">
      <c r="A21" s="389" t="s">
        <v>216</v>
      </c>
      <c r="B21" s="324"/>
      <c r="C21" s="390"/>
      <c r="D21" s="387">
        <v>20330.400000000001</v>
      </c>
      <c r="E21" s="388"/>
      <c r="F21" s="387">
        <v>23259.4</v>
      </c>
      <c r="G21" s="388"/>
      <c r="H21" s="387">
        <v>21614.7</v>
      </c>
      <c r="I21" s="388"/>
      <c r="J21" s="387">
        <v>26858.6</v>
      </c>
      <c r="K21" s="388"/>
      <c r="L21" s="387">
        <f t="shared" si="5"/>
        <v>124.26080398987725</v>
      </c>
      <c r="M21" s="388"/>
      <c r="N21" s="387">
        <f t="shared" si="6"/>
        <v>115.47417388238732</v>
      </c>
      <c r="O21" s="388"/>
      <c r="P21" s="47">
        <v>15008.400000000001</v>
      </c>
      <c r="Q21" s="47"/>
    </row>
    <row r="22" spans="1:17" s="120" customFormat="1" ht="20.100000000000001" customHeight="1">
      <c r="A22" s="389" t="s">
        <v>208</v>
      </c>
      <c r="B22" s="324"/>
      <c r="C22" s="390"/>
      <c r="D22" s="387">
        <v>58310.400000000001</v>
      </c>
      <c r="E22" s="388"/>
      <c r="F22" s="387">
        <v>74809</v>
      </c>
      <c r="G22" s="388"/>
      <c r="H22" s="387">
        <v>66147.399999999994</v>
      </c>
      <c r="I22" s="388"/>
      <c r="J22" s="387">
        <v>77937</v>
      </c>
      <c r="K22" s="388"/>
      <c r="L22" s="387">
        <f t="shared" si="5"/>
        <v>117.82322510030629</v>
      </c>
      <c r="M22" s="388"/>
      <c r="N22" s="387">
        <f t="shared" si="6"/>
        <v>104.18131508240987</v>
      </c>
      <c r="O22" s="388"/>
      <c r="P22" s="54"/>
      <c r="Q22" s="54"/>
    </row>
    <row r="23" spans="1:17" s="120" customFormat="1" ht="20.100000000000001" customHeight="1">
      <c r="A23" s="363" t="s">
        <v>400</v>
      </c>
      <c r="B23" s="364"/>
      <c r="C23" s="365"/>
      <c r="D23" s="395">
        <f>SUM(D24:E28)</f>
        <v>81647</v>
      </c>
      <c r="E23" s="396"/>
      <c r="F23" s="395">
        <f>SUM(F24:G28)</f>
        <v>99260</v>
      </c>
      <c r="G23" s="396"/>
      <c r="H23" s="395">
        <f>SUM(H24:I28)</f>
        <v>89514</v>
      </c>
      <c r="I23" s="396"/>
      <c r="J23" s="395">
        <f>J26+J27+J28</f>
        <v>106159</v>
      </c>
      <c r="K23" s="396"/>
      <c r="L23" s="395">
        <f t="shared" si="5"/>
        <v>118.59485667046496</v>
      </c>
      <c r="M23" s="396"/>
      <c r="N23" s="395">
        <f t="shared" si="6"/>
        <v>106.95043320572235</v>
      </c>
      <c r="O23" s="396"/>
      <c r="P23" s="251">
        <f>SUM(P24:P28)</f>
        <v>943.19999999999993</v>
      </c>
      <c r="Q23" s="47">
        <f>P17-P23</f>
        <v>14404</v>
      </c>
    </row>
    <row r="24" spans="1:17" s="120" customFormat="1" ht="20.100000000000001" customHeight="1">
      <c r="A24" s="389" t="s">
        <v>649</v>
      </c>
      <c r="B24" s="324"/>
      <c r="C24" s="390"/>
      <c r="D24" s="387"/>
      <c r="E24" s="388"/>
      <c r="F24" s="387"/>
      <c r="G24" s="388"/>
      <c r="H24" s="387"/>
      <c r="I24" s="388"/>
      <c r="J24" s="404"/>
      <c r="K24" s="405"/>
      <c r="L24" s="387"/>
      <c r="M24" s="388"/>
      <c r="N24" s="387"/>
      <c r="O24" s="388"/>
      <c r="P24" s="47">
        <v>314.39999999999998</v>
      </c>
      <c r="Q24" s="47"/>
    </row>
    <row r="25" spans="1:17" s="120" customFormat="1" ht="20.100000000000001" customHeight="1">
      <c r="A25" s="389" t="s">
        <v>650</v>
      </c>
      <c r="B25" s="324"/>
      <c r="C25" s="390"/>
      <c r="D25" s="387"/>
      <c r="E25" s="388"/>
      <c r="F25" s="387">
        <v>0</v>
      </c>
      <c r="G25" s="388"/>
      <c r="H25" s="387"/>
      <c r="I25" s="388"/>
      <c r="J25" s="404"/>
      <c r="K25" s="405"/>
      <c r="L25" s="387"/>
      <c r="M25" s="388"/>
      <c r="N25" s="387"/>
      <c r="O25" s="388"/>
      <c r="P25" s="47">
        <v>314.39999999999998</v>
      </c>
      <c r="Q25" s="47"/>
    </row>
    <row r="26" spans="1:17" s="120" customFormat="1" ht="20.100000000000001" customHeight="1">
      <c r="A26" s="389" t="s">
        <v>651</v>
      </c>
      <c r="B26" s="324"/>
      <c r="C26" s="390"/>
      <c r="D26" s="387">
        <v>860.9</v>
      </c>
      <c r="E26" s="388"/>
      <c r="F26" s="387">
        <v>1303.5999999999999</v>
      </c>
      <c r="G26" s="388"/>
      <c r="H26" s="387">
        <v>1001.7</v>
      </c>
      <c r="I26" s="388"/>
      <c r="J26" s="404">
        <v>1705.8</v>
      </c>
      <c r="K26" s="405"/>
      <c r="L26" s="387">
        <f t="shared" ref="L26" si="10">J26/H26*100</f>
        <v>170.29050613956272</v>
      </c>
      <c r="M26" s="388"/>
      <c r="N26" s="387">
        <f t="shared" ref="N26" si="11">J26/F26*100</f>
        <v>130.85302239950906</v>
      </c>
      <c r="O26" s="388"/>
      <c r="P26" s="47">
        <v>314.39999999999998</v>
      </c>
      <c r="Q26" s="47"/>
    </row>
    <row r="27" spans="1:17" s="120" customFormat="1" ht="20.100000000000001" customHeight="1">
      <c r="A27" s="389" t="s">
        <v>216</v>
      </c>
      <c r="B27" s="324"/>
      <c r="C27" s="390"/>
      <c r="D27" s="387">
        <v>21361.1</v>
      </c>
      <c r="E27" s="388"/>
      <c r="F27" s="387">
        <v>22974.400000000001</v>
      </c>
      <c r="G27" s="388"/>
      <c r="H27" s="387">
        <v>22191</v>
      </c>
      <c r="I27" s="388"/>
      <c r="J27" s="404">
        <v>26489.200000000001</v>
      </c>
      <c r="K27" s="405"/>
      <c r="L27" s="387">
        <f t="shared" si="5"/>
        <v>119.36911360461448</v>
      </c>
      <c r="M27" s="388"/>
      <c r="N27" s="387">
        <f t="shared" si="6"/>
        <v>115.29876732362978</v>
      </c>
      <c r="O27" s="388"/>
      <c r="P27" s="54"/>
      <c r="Q27" s="47"/>
    </row>
    <row r="28" spans="1:17" s="120" customFormat="1" ht="19.5" customHeight="1">
      <c r="A28" s="389" t="s">
        <v>208</v>
      </c>
      <c r="B28" s="324"/>
      <c r="C28" s="390"/>
      <c r="D28" s="387">
        <v>59425</v>
      </c>
      <c r="E28" s="388"/>
      <c r="F28" s="387">
        <v>74982</v>
      </c>
      <c r="G28" s="388"/>
      <c r="H28" s="387">
        <v>66321.3</v>
      </c>
      <c r="I28" s="388"/>
      <c r="J28" s="404">
        <v>77964</v>
      </c>
      <c r="K28" s="405"/>
      <c r="L28" s="387">
        <f t="shared" si="5"/>
        <v>117.55499364457572</v>
      </c>
      <c r="M28" s="388"/>
      <c r="N28" s="387">
        <f t="shared" si="6"/>
        <v>103.97695446907258</v>
      </c>
      <c r="O28" s="388"/>
      <c r="P28" s="54"/>
      <c r="Q28" s="47"/>
    </row>
    <row r="29" spans="1:17" s="120" customFormat="1" ht="39" customHeight="1">
      <c r="A29" s="363" t="s">
        <v>384</v>
      </c>
      <c r="B29" s="364"/>
      <c r="C29" s="365"/>
      <c r="D29" s="395">
        <f>D23/D11/12*1000</f>
        <v>26371.770025839793</v>
      </c>
      <c r="E29" s="396"/>
      <c r="F29" s="395">
        <f>F23/F11/12*1000</f>
        <v>24989.929506545821</v>
      </c>
      <c r="G29" s="396"/>
      <c r="H29" s="395">
        <f>H23/H11/12*1000</f>
        <v>25901.041666666668</v>
      </c>
      <c r="I29" s="396"/>
      <c r="J29" s="395">
        <f>(J23/J11)/12*1000</f>
        <v>26486.776447105785</v>
      </c>
      <c r="K29" s="396"/>
      <c r="L29" s="395">
        <f t="shared" si="5"/>
        <v>102.26143329668832</v>
      </c>
      <c r="M29" s="396"/>
      <c r="N29" s="395">
        <f t="shared" si="6"/>
        <v>105.98980057213801</v>
      </c>
      <c r="O29" s="396"/>
    </row>
    <row r="30" spans="1:17" s="120" customFormat="1" ht="20.100000000000001" customHeight="1">
      <c r="A30" s="389" t="s">
        <v>649</v>
      </c>
      <c r="B30" s="324"/>
      <c r="C30" s="390"/>
      <c r="D30" s="387">
        <f>D24/D14/12*1000</f>
        <v>0</v>
      </c>
      <c r="E30" s="388"/>
      <c r="F30" s="387">
        <f>F24/F14/12*1000</f>
        <v>0</v>
      </c>
      <c r="G30" s="388"/>
      <c r="H30" s="387">
        <f>H24/H14/12*1000</f>
        <v>0</v>
      </c>
      <c r="I30" s="388"/>
      <c r="J30" s="387">
        <f>(J24/J14)/12*1000</f>
        <v>0</v>
      </c>
      <c r="K30" s="388"/>
      <c r="L30" s="387"/>
      <c r="M30" s="388"/>
      <c r="N30" s="387"/>
      <c r="O30" s="388"/>
    </row>
    <row r="31" spans="1:17" s="120" customFormat="1" ht="20.100000000000001" customHeight="1">
      <c r="A31" s="389" t="s">
        <v>650</v>
      </c>
      <c r="B31" s="324"/>
      <c r="C31" s="390"/>
      <c r="D31" s="252"/>
      <c r="E31" s="253"/>
      <c r="F31" s="252"/>
      <c r="G31" s="253"/>
      <c r="H31" s="252"/>
      <c r="I31" s="253"/>
      <c r="J31" s="252"/>
      <c r="K31" s="253"/>
      <c r="L31" s="252"/>
      <c r="M31" s="253"/>
      <c r="N31" s="252"/>
      <c r="O31" s="253"/>
    </row>
    <row r="32" spans="1:17" s="120" customFormat="1" ht="20.100000000000001" customHeight="1">
      <c r="A32" s="389" t="s">
        <v>652</v>
      </c>
      <c r="B32" s="324"/>
      <c r="C32" s="390"/>
      <c r="D32" s="387">
        <f>D26/D14/12*1000</f>
        <v>71741.666666666657</v>
      </c>
      <c r="E32" s="388"/>
      <c r="F32" s="387">
        <f t="shared" ref="F32" si="12">F26/F14/12*1000</f>
        <v>108633.33333333333</v>
      </c>
      <c r="G32" s="388"/>
      <c r="H32" s="387">
        <f t="shared" ref="H32" si="13">H26/H14/12*1000</f>
        <v>83475.000000000015</v>
      </c>
      <c r="I32" s="388"/>
      <c r="J32" s="387">
        <f>J26/J14/12*1000</f>
        <v>142150</v>
      </c>
      <c r="K32" s="388"/>
      <c r="L32" s="387">
        <f t="shared" ref="L32" si="14">J32/H32*100</f>
        <v>170.29050613956272</v>
      </c>
      <c r="M32" s="388"/>
      <c r="N32" s="387">
        <f t="shared" ref="N32" si="15">J32/F32*100</f>
        <v>130.85302239950906</v>
      </c>
      <c r="O32" s="388"/>
    </row>
    <row r="33" spans="1:16" s="120" customFormat="1" ht="20.100000000000001" customHeight="1">
      <c r="A33" s="424" t="s">
        <v>653</v>
      </c>
      <c r="B33" s="425"/>
      <c r="C33" s="426"/>
      <c r="D33" s="252"/>
      <c r="E33" s="253"/>
      <c r="F33" s="387"/>
      <c r="G33" s="388"/>
      <c r="H33" s="387">
        <f>71916.7</f>
        <v>71916.7</v>
      </c>
      <c r="I33" s="388"/>
      <c r="J33" s="387">
        <f>ROUND(961.6/12*1000,1)</f>
        <v>80133.3</v>
      </c>
      <c r="K33" s="388"/>
      <c r="L33" s="387"/>
      <c r="M33" s="388"/>
      <c r="N33" s="387"/>
      <c r="O33" s="388"/>
    </row>
    <row r="34" spans="1:16" s="120" customFormat="1" ht="20.100000000000001" customHeight="1">
      <c r="A34" s="424" t="s">
        <v>654</v>
      </c>
      <c r="B34" s="425"/>
      <c r="C34" s="426"/>
      <c r="D34" s="252"/>
      <c r="E34" s="253"/>
      <c r="F34" s="387"/>
      <c r="G34" s="388"/>
      <c r="H34" s="387">
        <v>0</v>
      </c>
      <c r="I34" s="388"/>
      <c r="J34" s="387">
        <f>ROUND(335.2/12*1000,1)</f>
        <v>27933.3</v>
      </c>
      <c r="K34" s="388"/>
      <c r="L34" s="387"/>
      <c r="M34" s="388"/>
      <c r="N34" s="387"/>
      <c r="O34" s="388"/>
    </row>
    <row r="35" spans="1:16" s="120" customFormat="1" ht="20.100000000000001" customHeight="1">
      <c r="A35" s="424" t="s">
        <v>655</v>
      </c>
      <c r="B35" s="425"/>
      <c r="C35" s="426"/>
      <c r="D35" s="252"/>
      <c r="E35" s="253"/>
      <c r="F35" s="387"/>
      <c r="G35" s="388"/>
      <c r="H35" s="387">
        <v>11558.3</v>
      </c>
      <c r="I35" s="388"/>
      <c r="J35" s="387">
        <f>ROUND(409/12*1000,1)+0.1</f>
        <v>34083.4</v>
      </c>
      <c r="K35" s="388"/>
      <c r="L35" s="387"/>
      <c r="M35" s="388"/>
      <c r="N35" s="387"/>
      <c r="O35" s="388"/>
    </row>
    <row r="36" spans="1:16" s="120" customFormat="1" ht="20.100000000000001" customHeight="1">
      <c r="A36" s="389" t="s">
        <v>216</v>
      </c>
      <c r="B36" s="324"/>
      <c r="C36" s="390"/>
      <c r="D36" s="387">
        <f>D27/D15/12*1000</f>
        <v>24723.495370370369</v>
      </c>
      <c r="E36" s="388"/>
      <c r="F36" s="387">
        <f>F27/F15/12*1000</f>
        <v>23636.213991769549</v>
      </c>
      <c r="G36" s="388"/>
      <c r="H36" s="387">
        <f>H27/H15/12*1000</f>
        <v>25684.027777777774</v>
      </c>
      <c r="I36" s="388"/>
      <c r="J36" s="387">
        <f>(J27/J15)/12*1000</f>
        <v>25969.803921568626</v>
      </c>
      <c r="K36" s="388"/>
      <c r="L36" s="387">
        <f t="shared" si="5"/>
        <v>101.11266093567346</v>
      </c>
      <c r="M36" s="388"/>
      <c r="N36" s="387">
        <f t="shared" si="6"/>
        <v>109.87294297898835</v>
      </c>
      <c r="O36" s="388"/>
    </row>
    <row r="37" spans="1:16" s="120" customFormat="1" ht="20.25" customHeight="1">
      <c r="A37" s="389" t="s">
        <v>208</v>
      </c>
      <c r="B37" s="324"/>
      <c r="C37" s="390"/>
      <c r="D37" s="387">
        <f>D28/D16/12*1000</f>
        <v>26768.018018018014</v>
      </c>
      <c r="E37" s="388"/>
      <c r="F37" s="387">
        <f>F28/F16/12*1000</f>
        <v>25094.377510040162</v>
      </c>
      <c r="G37" s="388"/>
      <c r="H37" s="387">
        <f>H28/H16/12*1000</f>
        <v>25705.930232558141</v>
      </c>
      <c r="I37" s="388"/>
      <c r="J37" s="387">
        <f>(J28/J16)/12*1000</f>
        <v>26197.580645161292</v>
      </c>
      <c r="K37" s="388"/>
      <c r="L37" s="387">
        <f t="shared" si="5"/>
        <v>101.9125952967088</v>
      </c>
      <c r="M37" s="388"/>
      <c r="N37" s="387">
        <f t="shared" si="6"/>
        <v>104.39621638225431</v>
      </c>
      <c r="O37" s="388"/>
      <c r="P37" s="254"/>
    </row>
    <row r="38" spans="1:16" ht="10.5" customHeight="1">
      <c r="A38" s="255"/>
      <c r="B38" s="255"/>
      <c r="C38" s="255"/>
      <c r="D38" s="85"/>
      <c r="E38" s="85"/>
      <c r="F38" s="85"/>
      <c r="G38" s="85"/>
      <c r="H38" s="85"/>
      <c r="I38" s="85"/>
      <c r="J38" s="85"/>
      <c r="K38" s="85"/>
      <c r="L38" s="85"/>
      <c r="M38" s="85"/>
      <c r="N38" s="85"/>
      <c r="O38" s="85"/>
    </row>
    <row r="39" spans="1:16" ht="20.100000000000001" customHeight="1">
      <c r="A39" s="403" t="s">
        <v>338</v>
      </c>
      <c r="B39" s="403"/>
      <c r="C39" s="403"/>
      <c r="D39" s="403"/>
      <c r="E39" s="403"/>
      <c r="F39" s="403"/>
      <c r="G39" s="403"/>
      <c r="H39" s="403"/>
      <c r="I39" s="403"/>
      <c r="J39" s="403"/>
      <c r="K39" s="403"/>
      <c r="L39" s="403"/>
      <c r="M39" s="403"/>
      <c r="N39" s="403"/>
      <c r="O39" s="403"/>
    </row>
    <row r="40" spans="1:16" ht="15" customHeight="1">
      <c r="A40" s="85"/>
      <c r="B40" s="85"/>
      <c r="C40" s="85"/>
      <c r="D40" s="85"/>
      <c r="E40" s="85"/>
      <c r="F40" s="85"/>
      <c r="G40" s="85"/>
      <c r="H40" s="85"/>
      <c r="I40" s="85"/>
    </row>
    <row r="41" spans="1:16" ht="21.95" customHeight="1">
      <c r="A41" s="398" t="s">
        <v>225</v>
      </c>
      <c r="B41" s="398"/>
      <c r="C41" s="398"/>
      <c r="D41" s="398"/>
      <c r="E41" s="398"/>
      <c r="F41" s="398"/>
      <c r="G41" s="398"/>
      <c r="H41" s="398"/>
      <c r="I41" s="398"/>
      <c r="J41" s="398"/>
      <c r="K41" s="398"/>
      <c r="L41" s="398"/>
      <c r="M41" s="398"/>
      <c r="N41" s="398"/>
      <c r="O41" s="398"/>
    </row>
    <row r="42" spans="1:16" ht="10.5" customHeight="1"/>
    <row r="43" spans="1:16" ht="60" customHeight="1">
      <c r="A43" s="134" t="s">
        <v>130</v>
      </c>
      <c r="B43" s="401" t="s">
        <v>226</v>
      </c>
      <c r="C43" s="402"/>
      <c r="D43" s="402"/>
      <c r="E43" s="402"/>
      <c r="F43" s="351" t="s">
        <v>88</v>
      </c>
      <c r="G43" s="351"/>
      <c r="H43" s="351"/>
      <c r="I43" s="351"/>
      <c r="J43" s="351"/>
      <c r="K43" s="351"/>
      <c r="L43" s="351"/>
      <c r="M43" s="351"/>
      <c r="N43" s="351"/>
      <c r="O43" s="351"/>
    </row>
    <row r="44" spans="1:16" ht="18" customHeight="1">
      <c r="A44" s="134">
        <v>1</v>
      </c>
      <c r="B44" s="401">
        <v>2</v>
      </c>
      <c r="C44" s="402"/>
      <c r="D44" s="402"/>
      <c r="E44" s="402"/>
      <c r="F44" s="351">
        <v>3</v>
      </c>
      <c r="G44" s="351"/>
      <c r="H44" s="351"/>
      <c r="I44" s="351"/>
      <c r="J44" s="351"/>
      <c r="K44" s="351"/>
      <c r="L44" s="351"/>
      <c r="M44" s="351"/>
      <c r="N44" s="351"/>
      <c r="O44" s="351"/>
    </row>
    <row r="45" spans="1:16" ht="20.100000000000001" customHeight="1">
      <c r="A45" s="257"/>
      <c r="B45" s="406"/>
      <c r="C45" s="407"/>
      <c r="D45" s="407"/>
      <c r="E45" s="407"/>
      <c r="F45" s="408"/>
      <c r="G45" s="408"/>
      <c r="H45" s="408"/>
      <c r="I45" s="408"/>
      <c r="J45" s="408"/>
      <c r="K45" s="408"/>
      <c r="L45" s="408"/>
      <c r="M45" s="408"/>
      <c r="N45" s="408"/>
      <c r="O45" s="408"/>
    </row>
    <row r="46" spans="1:16" ht="20.100000000000001" customHeight="1">
      <c r="A46" s="258"/>
      <c r="B46" s="113"/>
      <c r="C46" s="113"/>
      <c r="D46" s="113"/>
      <c r="E46" s="113"/>
      <c r="F46" s="113"/>
      <c r="G46" s="113"/>
      <c r="H46" s="113"/>
      <c r="I46" s="113"/>
      <c r="J46" s="113"/>
      <c r="K46" s="113"/>
      <c r="L46" s="113"/>
      <c r="M46" s="113"/>
      <c r="N46" s="113"/>
      <c r="O46" s="113"/>
    </row>
    <row r="47" spans="1:16" ht="21.95" customHeight="1">
      <c r="A47" s="409" t="s">
        <v>195</v>
      </c>
      <c r="B47" s="409"/>
      <c r="C47" s="409"/>
      <c r="D47" s="409"/>
      <c r="E47" s="409"/>
      <c r="F47" s="409"/>
      <c r="G47" s="409"/>
      <c r="H47" s="409"/>
      <c r="I47" s="409"/>
      <c r="J47" s="409"/>
    </row>
    <row r="48" spans="1:16" ht="20.100000000000001" customHeight="1">
      <c r="A48" s="259"/>
    </row>
    <row r="49" spans="1:15" ht="63.95" customHeight="1">
      <c r="A49" s="341" t="s">
        <v>329</v>
      </c>
      <c r="B49" s="354" t="s">
        <v>227</v>
      </c>
      <c r="C49" s="356"/>
      <c r="D49" s="352" t="s">
        <v>600</v>
      </c>
      <c r="E49" s="352"/>
      <c r="F49" s="352"/>
      <c r="G49" s="352" t="s">
        <v>601</v>
      </c>
      <c r="H49" s="352"/>
      <c r="I49" s="352"/>
      <c r="J49" s="354" t="s">
        <v>805</v>
      </c>
      <c r="K49" s="355"/>
      <c r="L49" s="356"/>
      <c r="M49" s="352" t="s">
        <v>602</v>
      </c>
      <c r="N49" s="352"/>
      <c r="O49" s="352"/>
    </row>
    <row r="50" spans="1:15" ht="150">
      <c r="A50" s="342"/>
      <c r="B50" s="129" t="s">
        <v>72</v>
      </c>
      <c r="C50" s="129" t="s">
        <v>73</v>
      </c>
      <c r="D50" s="129" t="s">
        <v>401</v>
      </c>
      <c r="E50" s="129" t="s">
        <v>228</v>
      </c>
      <c r="F50" s="129" t="s">
        <v>402</v>
      </c>
      <c r="G50" s="129" t="s">
        <v>401</v>
      </c>
      <c r="H50" s="129" t="s">
        <v>228</v>
      </c>
      <c r="I50" s="129" t="s">
        <v>402</v>
      </c>
      <c r="J50" s="129" t="s">
        <v>401</v>
      </c>
      <c r="K50" s="129" t="s">
        <v>228</v>
      </c>
      <c r="L50" s="129" t="s">
        <v>402</v>
      </c>
      <c r="M50" s="129" t="s">
        <v>401</v>
      </c>
      <c r="N50" s="129" t="s">
        <v>228</v>
      </c>
      <c r="O50" s="129" t="s">
        <v>402</v>
      </c>
    </row>
    <row r="51" spans="1:15" ht="18" customHeight="1">
      <c r="A51" s="129">
        <v>1</v>
      </c>
      <c r="B51" s="129">
        <v>2</v>
      </c>
      <c r="C51" s="129">
        <v>3</v>
      </c>
      <c r="D51" s="129">
        <v>4</v>
      </c>
      <c r="E51" s="129">
        <v>5</v>
      </c>
      <c r="F51" s="129">
        <v>6</v>
      </c>
      <c r="G51" s="129">
        <v>7</v>
      </c>
      <c r="H51" s="126">
        <v>8</v>
      </c>
      <c r="I51" s="126">
        <v>9</v>
      </c>
      <c r="J51" s="126">
        <v>10</v>
      </c>
      <c r="K51" s="126">
        <v>11</v>
      </c>
      <c r="L51" s="126">
        <v>12</v>
      </c>
      <c r="M51" s="126">
        <v>13</v>
      </c>
      <c r="N51" s="126">
        <v>14</v>
      </c>
      <c r="O51" s="126">
        <v>15</v>
      </c>
    </row>
    <row r="52" spans="1:15" ht="18" customHeight="1">
      <c r="A52" s="143" t="s">
        <v>457</v>
      </c>
      <c r="B52" s="133"/>
      <c r="C52" s="133"/>
      <c r="D52" s="125"/>
      <c r="E52" s="125"/>
      <c r="F52" s="86"/>
      <c r="G52" s="125"/>
      <c r="H52" s="125"/>
      <c r="I52" s="86"/>
      <c r="J52" s="125"/>
      <c r="K52" s="125"/>
      <c r="L52" s="86"/>
      <c r="M52" s="125"/>
      <c r="N52" s="125"/>
      <c r="O52" s="86"/>
    </row>
    <row r="53" spans="1:15" ht="42" customHeight="1">
      <c r="A53" s="260" t="s">
        <v>458</v>
      </c>
      <c r="B53" s="133">
        <f>D53/$D$57*100</f>
        <v>35.85301837270341</v>
      </c>
      <c r="C53" s="74">
        <f>M53/M57*100</f>
        <v>55.823293172690761</v>
      </c>
      <c r="D53" s="86">
        <v>273.2</v>
      </c>
      <c r="E53" s="125"/>
      <c r="F53" s="86"/>
      <c r="G53" s="125">
        <v>212</v>
      </c>
      <c r="H53" s="125"/>
      <c r="I53" s="86"/>
      <c r="J53" s="86">
        <v>225.1</v>
      </c>
      <c r="K53" s="86"/>
      <c r="L53" s="86"/>
      <c r="M53" s="125">
        <f>56+110+56+56</f>
        <v>278</v>
      </c>
      <c r="N53" s="125"/>
      <c r="O53" s="86"/>
    </row>
    <row r="54" spans="1:15" ht="40.15" customHeight="1">
      <c r="A54" s="261" t="s">
        <v>459</v>
      </c>
      <c r="B54" s="133">
        <f t="shared" ref="B54:B56" si="16">D54/$D$57*100</f>
        <v>62.769028871391072</v>
      </c>
      <c r="C54" s="74">
        <f>M54/M57*100</f>
        <v>44.176706827309239</v>
      </c>
      <c r="D54" s="86">
        <v>478.3</v>
      </c>
      <c r="E54" s="125">
        <v>138</v>
      </c>
      <c r="F54" s="86">
        <f>D54*1000/E54</f>
        <v>3465.942028985507</v>
      </c>
      <c r="G54" s="125">
        <v>270</v>
      </c>
      <c r="H54" s="125">
        <v>60</v>
      </c>
      <c r="I54" s="86">
        <f>G54*1000/H54</f>
        <v>4500</v>
      </c>
      <c r="J54" s="86">
        <v>403.7</v>
      </c>
      <c r="K54" s="86">
        <v>131</v>
      </c>
      <c r="L54" s="86">
        <f>J54/K54*1000</f>
        <v>3081.6793893129766</v>
      </c>
      <c r="M54" s="125">
        <f>39+75+53+53</f>
        <v>220</v>
      </c>
      <c r="N54" s="125">
        <f>7+20+8+8</f>
        <v>43</v>
      </c>
      <c r="O54" s="86">
        <f>M54/N54*1000</f>
        <v>5116.2790697674418</v>
      </c>
    </row>
    <row r="55" spans="1:15" ht="107.25" hidden="1" customHeight="1">
      <c r="A55" s="260"/>
      <c r="B55" s="133">
        <f t="shared" si="16"/>
        <v>0</v>
      </c>
      <c r="C55" s="74"/>
      <c r="D55" s="86"/>
      <c r="E55" s="125"/>
      <c r="F55" s="86"/>
      <c r="G55" s="125"/>
      <c r="H55" s="125"/>
      <c r="I55" s="86"/>
      <c r="J55" s="86"/>
      <c r="K55" s="86"/>
      <c r="L55" s="86"/>
      <c r="M55" s="125"/>
      <c r="N55" s="125"/>
      <c r="O55" s="86"/>
    </row>
    <row r="56" spans="1:15" ht="33.75" customHeight="1">
      <c r="A56" s="260" t="s">
        <v>560</v>
      </c>
      <c r="B56" s="133">
        <f t="shared" si="16"/>
        <v>1.3779527559055118</v>
      </c>
      <c r="C56" s="74"/>
      <c r="D56" s="86">
        <v>10.5</v>
      </c>
      <c r="E56" s="125"/>
      <c r="F56" s="86"/>
      <c r="G56" s="125"/>
      <c r="H56" s="125"/>
      <c r="I56" s="86"/>
      <c r="J56" s="86">
        <v>11.2</v>
      </c>
      <c r="K56" s="86"/>
      <c r="L56" s="86"/>
      <c r="M56" s="125"/>
      <c r="N56" s="125"/>
      <c r="O56" s="86"/>
    </row>
    <row r="57" spans="1:15" ht="20.100000000000001" customHeight="1">
      <c r="A57" s="176" t="s">
        <v>54</v>
      </c>
      <c r="B57" s="94">
        <v>100</v>
      </c>
      <c r="C57" s="94">
        <v>100</v>
      </c>
      <c r="D57" s="87">
        <f>SUM(D53:D56)</f>
        <v>762</v>
      </c>
      <c r="E57" s="124"/>
      <c r="F57" s="87"/>
      <c r="G57" s="124">
        <f>SUM(G53:G55)</f>
        <v>482</v>
      </c>
      <c r="H57" s="124"/>
      <c r="I57" s="87"/>
      <c r="J57" s="87">
        <f>SUM(J53:J56)</f>
        <v>640</v>
      </c>
      <c r="K57" s="124"/>
      <c r="L57" s="87"/>
      <c r="M57" s="124">
        <f>SUM(M53:M56)</f>
        <v>498</v>
      </c>
      <c r="N57" s="124"/>
      <c r="O57" s="87"/>
    </row>
    <row r="58" spans="1:15" ht="20.100000000000001" customHeight="1">
      <c r="A58" s="9"/>
      <c r="B58" s="88"/>
      <c r="C58" s="88"/>
      <c r="D58" s="88"/>
      <c r="E58" s="88"/>
      <c r="F58" s="71"/>
      <c r="G58" s="71"/>
      <c r="H58" s="71"/>
      <c r="I58" s="4"/>
      <c r="J58" s="4"/>
      <c r="K58" s="4"/>
      <c r="L58" s="4"/>
      <c r="M58" s="4"/>
      <c r="N58" s="4"/>
      <c r="O58" s="4"/>
    </row>
    <row r="59" spans="1:15" ht="21.95" customHeight="1">
      <c r="A59" s="398" t="s">
        <v>74</v>
      </c>
      <c r="B59" s="398"/>
      <c r="C59" s="398"/>
      <c r="D59" s="398"/>
      <c r="E59" s="398"/>
      <c r="F59" s="398"/>
      <c r="G59" s="398"/>
      <c r="H59" s="398"/>
      <c r="I59" s="398"/>
      <c r="J59" s="398"/>
      <c r="K59" s="398"/>
      <c r="L59" s="398"/>
      <c r="M59" s="398"/>
      <c r="N59" s="398"/>
      <c r="O59" s="398"/>
    </row>
    <row r="60" spans="1:15" ht="20.100000000000001" customHeight="1">
      <c r="A60" s="259"/>
    </row>
    <row r="61" spans="1:15" ht="63.95" customHeight="1">
      <c r="A61" s="129" t="s">
        <v>121</v>
      </c>
      <c r="B61" s="352" t="s">
        <v>70</v>
      </c>
      <c r="C61" s="352"/>
      <c r="D61" s="352" t="s">
        <v>64</v>
      </c>
      <c r="E61" s="352"/>
      <c r="F61" s="352" t="s">
        <v>65</v>
      </c>
      <c r="G61" s="352"/>
      <c r="H61" s="352" t="s">
        <v>229</v>
      </c>
      <c r="I61" s="352"/>
      <c r="J61" s="352"/>
      <c r="K61" s="354" t="s">
        <v>89</v>
      </c>
      <c r="L61" s="356"/>
      <c r="M61" s="354" t="s">
        <v>34</v>
      </c>
      <c r="N61" s="355"/>
      <c r="O61" s="356"/>
    </row>
    <row r="62" spans="1:15" ht="18" customHeight="1">
      <c r="A62" s="126">
        <v>1</v>
      </c>
      <c r="B62" s="351">
        <v>2</v>
      </c>
      <c r="C62" s="351"/>
      <c r="D62" s="351">
        <v>3</v>
      </c>
      <c r="E62" s="351"/>
      <c r="F62" s="412">
        <v>4</v>
      </c>
      <c r="G62" s="412"/>
      <c r="H62" s="351">
        <v>5</v>
      </c>
      <c r="I62" s="351"/>
      <c r="J62" s="351"/>
      <c r="K62" s="351">
        <v>6</v>
      </c>
      <c r="L62" s="351"/>
      <c r="M62" s="401">
        <v>7</v>
      </c>
      <c r="N62" s="402"/>
      <c r="O62" s="410"/>
    </row>
    <row r="63" spans="1:15" ht="20.100000000000001" customHeight="1">
      <c r="A63" s="143"/>
      <c r="B63" s="411"/>
      <c r="C63" s="411"/>
      <c r="D63" s="413"/>
      <c r="E63" s="413"/>
      <c r="F63" s="414"/>
      <c r="G63" s="414"/>
      <c r="H63" s="352"/>
      <c r="I63" s="352"/>
      <c r="J63" s="352"/>
      <c r="K63" s="391"/>
      <c r="L63" s="392"/>
      <c r="M63" s="411"/>
      <c r="N63" s="411"/>
      <c r="O63" s="411"/>
    </row>
    <row r="64" spans="1:15" ht="20.100000000000001" customHeight="1">
      <c r="A64" s="143"/>
      <c r="B64" s="418"/>
      <c r="C64" s="419"/>
      <c r="D64" s="391"/>
      <c r="E64" s="392"/>
      <c r="F64" s="420"/>
      <c r="G64" s="421"/>
      <c r="H64" s="354"/>
      <c r="I64" s="355"/>
      <c r="J64" s="356"/>
      <c r="K64" s="391"/>
      <c r="L64" s="392"/>
      <c r="M64" s="418"/>
      <c r="N64" s="422"/>
      <c r="O64" s="419"/>
    </row>
    <row r="65" spans="1:15" ht="20.100000000000001" customHeight="1">
      <c r="A65" s="143"/>
      <c r="B65" s="411"/>
      <c r="C65" s="411"/>
      <c r="D65" s="413"/>
      <c r="E65" s="413"/>
      <c r="F65" s="414"/>
      <c r="G65" s="414"/>
      <c r="H65" s="352"/>
      <c r="I65" s="352"/>
      <c r="J65" s="352"/>
      <c r="K65" s="391"/>
      <c r="L65" s="392"/>
      <c r="M65" s="411"/>
      <c r="N65" s="411"/>
      <c r="O65" s="411"/>
    </row>
    <row r="66" spans="1:15" ht="20.100000000000001" customHeight="1">
      <c r="A66" s="176" t="s">
        <v>54</v>
      </c>
      <c r="B66" s="353" t="s">
        <v>35</v>
      </c>
      <c r="C66" s="353"/>
      <c r="D66" s="353" t="s">
        <v>35</v>
      </c>
      <c r="E66" s="353"/>
      <c r="F66" s="353" t="s">
        <v>35</v>
      </c>
      <c r="G66" s="353"/>
      <c r="H66" s="353"/>
      <c r="I66" s="353"/>
      <c r="J66" s="353"/>
      <c r="K66" s="393">
        <f>SUM(K63:K65)</f>
        <v>0</v>
      </c>
      <c r="L66" s="394"/>
      <c r="M66" s="423"/>
      <c r="N66" s="423"/>
      <c r="O66" s="423"/>
    </row>
    <row r="67" spans="1:15" ht="20.100000000000001" customHeight="1">
      <c r="A67" s="71"/>
      <c r="B67" s="113"/>
      <c r="C67" s="113"/>
      <c r="D67" s="113"/>
      <c r="E67" s="113"/>
      <c r="F67" s="113"/>
      <c r="G67" s="113"/>
      <c r="H67" s="113"/>
      <c r="I67" s="113"/>
      <c r="J67" s="113"/>
      <c r="K67" s="120"/>
      <c r="L67" s="120"/>
      <c r="M67" s="120"/>
      <c r="N67" s="120"/>
      <c r="O67" s="120"/>
    </row>
    <row r="68" spans="1:15" ht="21.95" customHeight="1">
      <c r="A68" s="398" t="s">
        <v>75</v>
      </c>
      <c r="B68" s="398"/>
      <c r="C68" s="398"/>
      <c r="D68" s="398"/>
      <c r="E68" s="398"/>
      <c r="F68" s="398"/>
      <c r="G68" s="398"/>
      <c r="H68" s="398"/>
      <c r="I68" s="398"/>
      <c r="J68" s="398"/>
      <c r="K68" s="398"/>
      <c r="L68" s="398"/>
      <c r="M68" s="398"/>
      <c r="N68" s="398"/>
      <c r="O68" s="398"/>
    </row>
    <row r="69" spans="1:15" ht="20.100000000000001" customHeight="1">
      <c r="A69" s="4"/>
      <c r="B69" s="262"/>
      <c r="C69" s="4"/>
      <c r="D69" s="4"/>
      <c r="E69" s="4"/>
      <c r="F69" s="4"/>
      <c r="G69" s="4"/>
      <c r="H69" s="4"/>
      <c r="I69" s="89"/>
    </row>
    <row r="70" spans="1:15" ht="63.95" customHeight="1">
      <c r="A70" s="352" t="s">
        <v>63</v>
      </c>
      <c r="B70" s="352"/>
      <c r="C70" s="352"/>
      <c r="D70" s="352" t="s">
        <v>90</v>
      </c>
      <c r="E70" s="352"/>
      <c r="F70" s="352"/>
      <c r="G70" s="352" t="s">
        <v>249</v>
      </c>
      <c r="H70" s="352"/>
      <c r="I70" s="352"/>
      <c r="J70" s="352" t="s">
        <v>247</v>
      </c>
      <c r="K70" s="352"/>
      <c r="L70" s="352"/>
      <c r="M70" s="352" t="s">
        <v>91</v>
      </c>
      <c r="N70" s="352"/>
      <c r="O70" s="352"/>
    </row>
    <row r="71" spans="1:15" ht="18" customHeight="1">
      <c r="A71" s="352">
        <v>1</v>
      </c>
      <c r="B71" s="352"/>
      <c r="C71" s="352"/>
      <c r="D71" s="352">
        <v>2</v>
      </c>
      <c r="E71" s="352"/>
      <c r="F71" s="352"/>
      <c r="G71" s="352">
        <v>3</v>
      </c>
      <c r="H71" s="352"/>
      <c r="I71" s="352"/>
      <c r="J71" s="351">
        <v>4</v>
      </c>
      <c r="K71" s="351"/>
      <c r="L71" s="351"/>
      <c r="M71" s="351">
        <v>5</v>
      </c>
      <c r="N71" s="351"/>
      <c r="O71" s="351"/>
    </row>
    <row r="72" spans="1:15" ht="20.100000000000001" customHeight="1">
      <c r="A72" s="417" t="s">
        <v>230</v>
      </c>
      <c r="B72" s="417"/>
      <c r="C72" s="417"/>
      <c r="D72" s="413"/>
      <c r="E72" s="413"/>
      <c r="F72" s="413"/>
      <c r="G72" s="413"/>
      <c r="H72" s="413"/>
      <c r="I72" s="413"/>
      <c r="J72" s="413"/>
      <c r="K72" s="413"/>
      <c r="L72" s="413"/>
      <c r="M72" s="413">
        <f>D72+G72-J72</f>
        <v>0</v>
      </c>
      <c r="N72" s="413"/>
      <c r="O72" s="413"/>
    </row>
    <row r="73" spans="1:15" ht="20.100000000000001" customHeight="1">
      <c r="A73" s="417" t="s">
        <v>103</v>
      </c>
      <c r="B73" s="417"/>
      <c r="C73" s="417"/>
      <c r="D73" s="413"/>
      <c r="E73" s="413"/>
      <c r="F73" s="413"/>
      <c r="G73" s="413"/>
      <c r="H73" s="413"/>
      <c r="I73" s="413"/>
      <c r="J73" s="413"/>
      <c r="K73" s="413"/>
      <c r="L73" s="413"/>
      <c r="M73" s="413"/>
      <c r="N73" s="413"/>
      <c r="O73" s="413"/>
    </row>
    <row r="74" spans="1:15" ht="20.100000000000001" customHeight="1">
      <c r="A74" s="417"/>
      <c r="B74" s="417"/>
      <c r="C74" s="417"/>
      <c r="D74" s="391"/>
      <c r="E74" s="416"/>
      <c r="F74" s="392"/>
      <c r="G74" s="391"/>
      <c r="H74" s="416"/>
      <c r="I74" s="392"/>
      <c r="J74" s="391"/>
      <c r="K74" s="416"/>
      <c r="L74" s="392"/>
      <c r="M74" s="391"/>
      <c r="N74" s="416"/>
      <c r="O74" s="392"/>
    </row>
    <row r="75" spans="1:15" ht="20.100000000000001" customHeight="1">
      <c r="A75" s="417" t="s">
        <v>231</v>
      </c>
      <c r="B75" s="417"/>
      <c r="C75" s="417"/>
      <c r="D75" s="413"/>
      <c r="E75" s="413"/>
      <c r="F75" s="413"/>
      <c r="G75" s="413"/>
      <c r="H75" s="413"/>
      <c r="I75" s="413"/>
      <c r="J75" s="413"/>
      <c r="K75" s="413"/>
      <c r="L75" s="413"/>
      <c r="M75" s="413">
        <f>D75+G75-J75</f>
        <v>0</v>
      </c>
      <c r="N75" s="413"/>
      <c r="O75" s="413"/>
    </row>
    <row r="76" spans="1:15" ht="20.100000000000001" customHeight="1">
      <c r="A76" s="417" t="s">
        <v>104</v>
      </c>
      <c r="B76" s="417"/>
      <c r="C76" s="417"/>
      <c r="D76" s="413"/>
      <c r="E76" s="413"/>
      <c r="F76" s="413"/>
      <c r="G76" s="413"/>
      <c r="H76" s="413"/>
      <c r="I76" s="413"/>
      <c r="J76" s="413"/>
      <c r="K76" s="413"/>
      <c r="L76" s="413"/>
      <c r="M76" s="413"/>
      <c r="N76" s="413"/>
      <c r="O76" s="413"/>
    </row>
    <row r="77" spans="1:15" ht="20.100000000000001" customHeight="1">
      <c r="A77" s="417"/>
      <c r="B77" s="417"/>
      <c r="C77" s="417"/>
      <c r="D77" s="391"/>
      <c r="E77" s="416"/>
      <c r="F77" s="392"/>
      <c r="G77" s="391"/>
      <c r="H77" s="416"/>
      <c r="I77" s="392"/>
      <c r="J77" s="391"/>
      <c r="K77" s="416"/>
      <c r="L77" s="392"/>
      <c r="M77" s="391"/>
      <c r="N77" s="416"/>
      <c r="O77" s="392"/>
    </row>
    <row r="78" spans="1:15" ht="20.100000000000001" customHeight="1">
      <c r="A78" s="417" t="s">
        <v>232</v>
      </c>
      <c r="B78" s="417"/>
      <c r="C78" s="417"/>
      <c r="D78" s="413"/>
      <c r="E78" s="413"/>
      <c r="F78" s="413"/>
      <c r="G78" s="413"/>
      <c r="H78" s="413"/>
      <c r="I78" s="413"/>
      <c r="J78" s="413"/>
      <c r="K78" s="413"/>
      <c r="L78" s="413"/>
      <c r="M78" s="413">
        <f>D78+G78-J78</f>
        <v>0</v>
      </c>
      <c r="N78" s="413"/>
      <c r="O78" s="413"/>
    </row>
    <row r="79" spans="1:15" ht="20.100000000000001" customHeight="1">
      <c r="A79" s="417" t="s">
        <v>103</v>
      </c>
      <c r="B79" s="417"/>
      <c r="C79" s="417"/>
      <c r="D79" s="413"/>
      <c r="E79" s="413"/>
      <c r="F79" s="413"/>
      <c r="G79" s="413"/>
      <c r="H79" s="413"/>
      <c r="I79" s="413"/>
      <c r="J79" s="413"/>
      <c r="K79" s="413"/>
      <c r="L79" s="413"/>
      <c r="M79" s="413"/>
      <c r="N79" s="413"/>
      <c r="O79" s="413"/>
    </row>
    <row r="80" spans="1:15" ht="20.100000000000001" customHeight="1">
      <c r="A80" s="389"/>
      <c r="B80" s="324"/>
      <c r="C80" s="390"/>
      <c r="D80" s="413"/>
      <c r="E80" s="413"/>
      <c r="F80" s="413"/>
      <c r="G80" s="413"/>
      <c r="H80" s="413"/>
      <c r="I80" s="413"/>
      <c r="J80" s="413"/>
      <c r="K80" s="413"/>
      <c r="L80" s="413"/>
      <c r="M80" s="413"/>
      <c r="N80" s="413"/>
      <c r="O80" s="413"/>
    </row>
    <row r="81" spans="1:15" ht="20.100000000000001" customHeight="1">
      <c r="A81" s="363" t="s">
        <v>54</v>
      </c>
      <c r="B81" s="364"/>
      <c r="C81" s="365"/>
      <c r="D81" s="415">
        <f>SUM(D72,D75,D78)</f>
        <v>0</v>
      </c>
      <c r="E81" s="415"/>
      <c r="F81" s="415"/>
      <c r="G81" s="415">
        <f>SUM(G72,G75,G78)</f>
        <v>0</v>
      </c>
      <c r="H81" s="415"/>
      <c r="I81" s="415"/>
      <c r="J81" s="415">
        <f>SUM(J72,J75,J78)</f>
        <v>0</v>
      </c>
      <c r="K81" s="415"/>
      <c r="L81" s="415"/>
      <c r="M81" s="415">
        <f>D81+G81-J81</f>
        <v>0</v>
      </c>
      <c r="N81" s="415"/>
      <c r="O81" s="415"/>
    </row>
    <row r="82" spans="1:15">
      <c r="C82" s="90"/>
      <c r="D82" s="90"/>
      <c r="E82" s="90"/>
    </row>
    <row r="83" spans="1:15">
      <c r="C83" s="90"/>
      <c r="D83" s="90"/>
      <c r="E83" s="90"/>
    </row>
    <row r="84" spans="1:15">
      <c r="C84" s="90"/>
      <c r="D84" s="90"/>
      <c r="E84" s="90"/>
    </row>
    <row r="85" spans="1:15">
      <c r="C85" s="90"/>
      <c r="D85" s="90"/>
      <c r="E85" s="90"/>
    </row>
    <row r="86" spans="1:15">
      <c r="C86" s="90"/>
      <c r="D86" s="90"/>
      <c r="E86" s="90"/>
    </row>
    <row r="87" spans="1:15">
      <c r="C87" s="90"/>
      <c r="D87" s="90"/>
      <c r="E87" s="90"/>
    </row>
    <row r="88" spans="1:15">
      <c r="C88" s="90"/>
      <c r="D88" s="90"/>
      <c r="E88" s="90"/>
    </row>
    <row r="89" spans="1:15">
      <c r="C89" s="90"/>
      <c r="D89" s="90"/>
      <c r="E89" s="90"/>
    </row>
    <row r="90" spans="1:15">
      <c r="C90" s="90"/>
      <c r="D90" s="90"/>
      <c r="E90" s="90"/>
    </row>
    <row r="91" spans="1:15">
      <c r="C91" s="90"/>
      <c r="D91" s="90"/>
      <c r="E91" s="90"/>
    </row>
    <row r="92" spans="1:15">
      <c r="C92" s="90"/>
      <c r="D92" s="90"/>
      <c r="E92" s="90"/>
    </row>
    <row r="93" spans="1:15">
      <c r="C93" s="90"/>
      <c r="D93" s="90"/>
      <c r="E93" s="90"/>
    </row>
    <row r="94" spans="1:15">
      <c r="C94" s="90"/>
      <c r="D94" s="90"/>
      <c r="E94" s="90"/>
    </row>
    <row r="95" spans="1:15">
      <c r="C95" s="90"/>
      <c r="D95" s="90"/>
      <c r="E95" s="90"/>
    </row>
  </sheetData>
  <mergeCells count="313">
    <mergeCell ref="A24:C24"/>
    <mergeCell ref="D24:E24"/>
    <mergeCell ref="F24:G24"/>
    <mergeCell ref="D26:E26"/>
    <mergeCell ref="F26:G26"/>
    <mergeCell ref="D27:E27"/>
    <mergeCell ref="A33:C33"/>
    <mergeCell ref="A34:C34"/>
    <mergeCell ref="A35:C35"/>
    <mergeCell ref="F33:G33"/>
    <mergeCell ref="F34:G34"/>
    <mergeCell ref="F35:G35"/>
    <mergeCell ref="L28:M28"/>
    <mergeCell ref="J28:K28"/>
    <mergeCell ref="F28:G28"/>
    <mergeCell ref="H28:I28"/>
    <mergeCell ref="F27:G27"/>
    <mergeCell ref="H27:I27"/>
    <mergeCell ref="F29:G29"/>
    <mergeCell ref="J30:K30"/>
    <mergeCell ref="D29:E29"/>
    <mergeCell ref="A12:C12"/>
    <mergeCell ref="D12:E12"/>
    <mergeCell ref="F12:G12"/>
    <mergeCell ref="H12:I12"/>
    <mergeCell ref="J12:K12"/>
    <mergeCell ref="L12:M12"/>
    <mergeCell ref="N12:O12"/>
    <mergeCell ref="A13:C13"/>
    <mergeCell ref="D13:E13"/>
    <mergeCell ref="F13:G13"/>
    <mergeCell ref="H13:I13"/>
    <mergeCell ref="J13:K13"/>
    <mergeCell ref="L13:M13"/>
    <mergeCell ref="N13:O13"/>
    <mergeCell ref="A81:C81"/>
    <mergeCell ref="D81:F81"/>
    <mergeCell ref="G81:I81"/>
    <mergeCell ref="J81:L81"/>
    <mergeCell ref="J80:L80"/>
    <mergeCell ref="N24:O24"/>
    <mergeCell ref="D75:F75"/>
    <mergeCell ref="G79:I79"/>
    <mergeCell ref="M64:O64"/>
    <mergeCell ref="M72:O72"/>
    <mergeCell ref="J71:L71"/>
    <mergeCell ref="K65:L65"/>
    <mergeCell ref="M65:O65"/>
    <mergeCell ref="G78:I78"/>
    <mergeCell ref="D73:F73"/>
    <mergeCell ref="A74:C74"/>
    <mergeCell ref="L24:M24"/>
    <mergeCell ref="A73:C73"/>
    <mergeCell ref="G73:I73"/>
    <mergeCell ref="D74:F74"/>
    <mergeCell ref="G74:I74"/>
    <mergeCell ref="M66:O66"/>
    <mergeCell ref="M75:O75"/>
    <mergeCell ref="J75:L75"/>
    <mergeCell ref="J73:L73"/>
    <mergeCell ref="M73:O73"/>
    <mergeCell ref="M74:O74"/>
    <mergeCell ref="J74:L74"/>
    <mergeCell ref="K64:L64"/>
    <mergeCell ref="H65:J65"/>
    <mergeCell ref="H36:I36"/>
    <mergeCell ref="J36:K36"/>
    <mergeCell ref="A28:C28"/>
    <mergeCell ref="A72:C72"/>
    <mergeCell ref="D72:F72"/>
    <mergeCell ref="G72:I72"/>
    <mergeCell ref="K66:L66"/>
    <mergeCell ref="J72:L72"/>
    <mergeCell ref="H66:J66"/>
    <mergeCell ref="G71:I71"/>
    <mergeCell ref="D71:F71"/>
    <mergeCell ref="H64:J64"/>
    <mergeCell ref="B65:C65"/>
    <mergeCell ref="B64:C64"/>
    <mergeCell ref="D64:E64"/>
    <mergeCell ref="F64:G64"/>
    <mergeCell ref="D65:E65"/>
    <mergeCell ref="F65:G65"/>
    <mergeCell ref="A76:C76"/>
    <mergeCell ref="D76:F76"/>
    <mergeCell ref="G75:I75"/>
    <mergeCell ref="A80:C80"/>
    <mergeCell ref="D80:F80"/>
    <mergeCell ref="G80:I80"/>
    <mergeCell ref="A79:C79"/>
    <mergeCell ref="D79:F79"/>
    <mergeCell ref="A77:C77"/>
    <mergeCell ref="D77:F77"/>
    <mergeCell ref="G77:I77"/>
    <mergeCell ref="A78:C78"/>
    <mergeCell ref="D78:F78"/>
    <mergeCell ref="G76:I76"/>
    <mergeCell ref="A75:C75"/>
    <mergeCell ref="M81:O81"/>
    <mergeCell ref="M79:O79"/>
    <mergeCell ref="M78:O78"/>
    <mergeCell ref="J76:L76"/>
    <mergeCell ref="M76:O76"/>
    <mergeCell ref="M77:O77"/>
    <mergeCell ref="M80:O80"/>
    <mergeCell ref="J79:L79"/>
    <mergeCell ref="J78:L78"/>
    <mergeCell ref="J77:L77"/>
    <mergeCell ref="M71:O71"/>
    <mergeCell ref="A71:C71"/>
    <mergeCell ref="B66:C66"/>
    <mergeCell ref="D66:E66"/>
    <mergeCell ref="F66:G66"/>
    <mergeCell ref="A68:O68"/>
    <mergeCell ref="A70:C70"/>
    <mergeCell ref="D70:F70"/>
    <mergeCell ref="G70:I70"/>
    <mergeCell ref="J70:L70"/>
    <mergeCell ref="M70:O70"/>
    <mergeCell ref="M63:O63"/>
    <mergeCell ref="B62:C62"/>
    <mergeCell ref="F62:G62"/>
    <mergeCell ref="H62:J62"/>
    <mergeCell ref="B63:C63"/>
    <mergeCell ref="H63:J63"/>
    <mergeCell ref="K63:L63"/>
    <mergeCell ref="D62:E62"/>
    <mergeCell ref="D63:E63"/>
    <mergeCell ref="F63:G63"/>
    <mergeCell ref="H23:I23"/>
    <mergeCell ref="J23:K23"/>
    <mergeCell ref="A23:C23"/>
    <mergeCell ref="D23:E23"/>
    <mergeCell ref="D28:E28"/>
    <mergeCell ref="N28:O28"/>
    <mergeCell ref="L26:M26"/>
    <mergeCell ref="M61:O61"/>
    <mergeCell ref="K62:L62"/>
    <mergeCell ref="M62:O62"/>
    <mergeCell ref="A59:O59"/>
    <mergeCell ref="B61:C61"/>
    <mergeCell ref="D61:E61"/>
    <mergeCell ref="F61:G61"/>
    <mergeCell ref="H61:J61"/>
    <mergeCell ref="K61:L61"/>
    <mergeCell ref="N26:O26"/>
    <mergeCell ref="A31:C31"/>
    <mergeCell ref="A32:C32"/>
    <mergeCell ref="D32:E32"/>
    <mergeCell ref="F32:G32"/>
    <mergeCell ref="H32:I32"/>
    <mergeCell ref="J32:K32"/>
    <mergeCell ref="A26:C26"/>
    <mergeCell ref="H35:I35"/>
    <mergeCell ref="J35:K35"/>
    <mergeCell ref="L10:M10"/>
    <mergeCell ref="L17:M17"/>
    <mergeCell ref="L16:M16"/>
    <mergeCell ref="L29:M29"/>
    <mergeCell ref="H11:I11"/>
    <mergeCell ref="A47:J47"/>
    <mergeCell ref="B49:C49"/>
    <mergeCell ref="D49:F49"/>
    <mergeCell ref="G49:I49"/>
    <mergeCell ref="J49:L49"/>
    <mergeCell ref="M49:O49"/>
    <mergeCell ref="A49:A50"/>
    <mergeCell ref="L21:M21"/>
    <mergeCell ref="N21:O21"/>
    <mergeCell ref="J21:K21"/>
    <mergeCell ref="A21:C21"/>
    <mergeCell ref="A22:C22"/>
    <mergeCell ref="H21:I21"/>
    <mergeCell ref="D22:E22"/>
    <mergeCell ref="N22:O22"/>
    <mergeCell ref="J22:K22"/>
    <mergeCell ref="F23:G23"/>
    <mergeCell ref="B45:E45"/>
    <mergeCell ref="F45:O45"/>
    <mergeCell ref="A11:C11"/>
    <mergeCell ref="D21:E21"/>
    <mergeCell ref="D36:E36"/>
    <mergeCell ref="J27:K27"/>
    <mergeCell ref="L27:M27"/>
    <mergeCell ref="N27:O27"/>
    <mergeCell ref="L30:M30"/>
    <mergeCell ref="N30:O30"/>
    <mergeCell ref="A29:C29"/>
    <mergeCell ref="A15:C15"/>
    <mergeCell ref="D15:E15"/>
    <mergeCell ref="H15:I15"/>
    <mergeCell ref="F15:G15"/>
    <mergeCell ref="L23:M23"/>
    <mergeCell ref="L22:M22"/>
    <mergeCell ref="A17:C17"/>
    <mergeCell ref="H18:I18"/>
    <mergeCell ref="H17:I17"/>
    <mergeCell ref="D17:E17"/>
    <mergeCell ref="A18:C18"/>
    <mergeCell ref="F17:G17"/>
    <mergeCell ref="A20:C20"/>
    <mergeCell ref="D20:E20"/>
    <mergeCell ref="H20:I20"/>
    <mergeCell ref="J20:K20"/>
    <mergeCell ref="L20:M20"/>
    <mergeCell ref="H22:I22"/>
    <mergeCell ref="F22:G22"/>
    <mergeCell ref="F21:G21"/>
    <mergeCell ref="F20:G20"/>
    <mergeCell ref="D18:E18"/>
    <mergeCell ref="F18:G18"/>
    <mergeCell ref="D19:E19"/>
    <mergeCell ref="F19:G19"/>
    <mergeCell ref="H19:I19"/>
    <mergeCell ref="J19:K19"/>
    <mergeCell ref="L19:M19"/>
    <mergeCell ref="J18:K18"/>
    <mergeCell ref="A19:C19"/>
    <mergeCell ref="H29:I29"/>
    <mergeCell ref="N36:O36"/>
    <mergeCell ref="H24:I24"/>
    <mergeCell ref="J24:K24"/>
    <mergeCell ref="J29:K29"/>
    <mergeCell ref="N29:O29"/>
    <mergeCell ref="A16:C16"/>
    <mergeCell ref="F16:G16"/>
    <mergeCell ref="H16:I16"/>
    <mergeCell ref="D16:E16"/>
    <mergeCell ref="N19:O19"/>
    <mergeCell ref="N20:O20"/>
    <mergeCell ref="A25:C25"/>
    <mergeCell ref="D25:E25"/>
    <mergeCell ref="F25:G25"/>
    <mergeCell ref="H25:I25"/>
    <mergeCell ref="J25:K25"/>
    <mergeCell ref="L25:M25"/>
    <mergeCell ref="N25:O25"/>
    <mergeCell ref="N23:O23"/>
    <mergeCell ref="H26:I26"/>
    <mergeCell ref="J26:K26"/>
    <mergeCell ref="A27:C27"/>
    <mergeCell ref="B44:E44"/>
    <mergeCell ref="F43:O43"/>
    <mergeCell ref="B43:E43"/>
    <mergeCell ref="A41:O41"/>
    <mergeCell ref="A39:O39"/>
    <mergeCell ref="A30:C30"/>
    <mergeCell ref="D30:E30"/>
    <mergeCell ref="F30:G30"/>
    <mergeCell ref="H30:I30"/>
    <mergeCell ref="F37:G37"/>
    <mergeCell ref="H37:I37"/>
    <mergeCell ref="L37:M37"/>
    <mergeCell ref="J37:K37"/>
    <mergeCell ref="N37:O37"/>
    <mergeCell ref="F36:G36"/>
    <mergeCell ref="A37:C37"/>
    <mergeCell ref="D37:E37"/>
    <mergeCell ref="A36:C36"/>
    <mergeCell ref="F44:O44"/>
    <mergeCell ref="L36:M36"/>
    <mergeCell ref="H33:I33"/>
    <mergeCell ref="J33:K33"/>
    <mergeCell ref="H34:I34"/>
    <mergeCell ref="J34:K34"/>
    <mergeCell ref="N17:O17"/>
    <mergeCell ref="L18:M18"/>
    <mergeCell ref="J17:K17"/>
    <mergeCell ref="J14:K14"/>
    <mergeCell ref="N10:O10"/>
    <mergeCell ref="J16:K16"/>
    <mergeCell ref="N16:O16"/>
    <mergeCell ref="N15:O15"/>
    <mergeCell ref="L15:M15"/>
    <mergeCell ref="J15:K15"/>
    <mergeCell ref="N11:O11"/>
    <mergeCell ref="A1:O1"/>
    <mergeCell ref="A2:O2"/>
    <mergeCell ref="A3:O3"/>
    <mergeCell ref="D9:E9"/>
    <mergeCell ref="F9:G9"/>
    <mergeCell ref="A5:O5"/>
    <mergeCell ref="A9:C9"/>
    <mergeCell ref="A4:O4"/>
    <mergeCell ref="A7:O7"/>
    <mergeCell ref="J9:K9"/>
    <mergeCell ref="H9:I9"/>
    <mergeCell ref="L9:M9"/>
    <mergeCell ref="N9:O9"/>
    <mergeCell ref="L32:M32"/>
    <mergeCell ref="N32:O32"/>
    <mergeCell ref="L33:M33"/>
    <mergeCell ref="N33:O33"/>
    <mergeCell ref="L34:M34"/>
    <mergeCell ref="N34:O34"/>
    <mergeCell ref="L35:M35"/>
    <mergeCell ref="N35:O35"/>
    <mergeCell ref="A10:C10"/>
    <mergeCell ref="A14:C14"/>
    <mergeCell ref="D14:E14"/>
    <mergeCell ref="D11:E11"/>
    <mergeCell ref="H14:I14"/>
    <mergeCell ref="F14:G14"/>
    <mergeCell ref="D10:E10"/>
    <mergeCell ref="L14:M14"/>
    <mergeCell ref="H10:I10"/>
    <mergeCell ref="F10:G10"/>
    <mergeCell ref="J11:K11"/>
    <mergeCell ref="F11:G11"/>
    <mergeCell ref="L11:M11"/>
    <mergeCell ref="J10:K10"/>
    <mergeCell ref="N14:O14"/>
    <mergeCell ref="N18:O18"/>
  </mergeCells>
  <phoneticPr fontId="7" type="noConversion"/>
  <pageMargins left="0.59055118110236227" right="0.39370078740157483" top="0.59055118110236227" bottom="0.59055118110236227" header="0.27559055118110237" footer="0.15748031496062992"/>
  <pageSetup paperSize="9" scale="51" fitToHeight="2" orientation="landscape" r:id="rId1"/>
  <headerFooter alignWithMargins="0">
    <oddHeader xml:space="preserve">&amp;C&amp;"Times New Roman,обычный"&amp;14 
13
&amp;R
&amp;"Times New Roman,обычный"&amp;14Продовження додатка 1
Таблиця 6
</oddHeader>
  </headerFooter>
  <rowBreaks count="1" manualBreakCount="1">
    <brk id="45" max="14" man="1"/>
  </rowBreaks>
  <ignoredErrors>
    <ignoredError sqref="L36:M37 L27:M28 L29:M29 K30 K29 I30 L14:M17 L21:M23" evalError="1"/>
    <ignoredError sqref="F57 H57:I57 K57:L57 K66" formulaRange="1"/>
  </ignoredErrors>
  <extLst>
    <ext xmlns:x14="http://schemas.microsoft.com/office/spreadsheetml/2009/9/main" uri="{78C0D931-6437-407d-A8EE-F0AAD7539E65}">
      <x14:conditionalFormattings>
        <x14:conditionalFormatting xmlns:xm="http://schemas.microsoft.com/office/excel/2006/main">
          <x14:cfRule type="cellIs" priority="6" operator="notEqual" id="{B4548F16-A444-4122-AE40-0F432386D05D}">
            <xm:f>'I. Фін результат'!$C$143</xm:f>
            <x14:dxf>
              <fill>
                <patternFill>
                  <bgColor rgb="FFFF0000"/>
                </patternFill>
              </fill>
            </x14:dxf>
          </x14:cfRule>
          <xm:sqref>D23:E23</xm:sqref>
        </x14:conditionalFormatting>
        <x14:conditionalFormatting xmlns:xm="http://schemas.microsoft.com/office/excel/2006/main">
          <x14:cfRule type="cellIs" priority="5" operator="notEqual" id="{DE5973AA-9F38-4EC0-8170-8B2F5EBA630D}">
            <xm:f>'I. Фін результат'!C143</xm:f>
            <x14:dxf>
              <fill>
                <patternFill>
                  <bgColor rgb="FFFF0000"/>
                </patternFill>
              </fill>
            </x14:dxf>
          </x14:cfRule>
          <xm:sqref>D23:E23</xm:sqref>
        </x14:conditionalFormatting>
        <x14:conditionalFormatting xmlns:xm="http://schemas.microsoft.com/office/excel/2006/main">
          <x14:cfRule type="cellIs" priority="3" operator="notEqual" id="{8D1B5FCB-055A-4E3A-A3B5-B6DF520B8B02}">
            <xm:f>'I. Фін результат'!D143</xm:f>
            <x14:dxf>
              <fill>
                <patternFill>
                  <bgColor rgb="FFFF0000"/>
                </patternFill>
              </fill>
            </x14:dxf>
          </x14:cfRule>
          <xm:sqref>F23</xm:sqref>
        </x14:conditionalFormatting>
        <x14:conditionalFormatting xmlns:xm="http://schemas.microsoft.com/office/excel/2006/main">
          <x14:cfRule type="cellIs" priority="2" operator="notEqual" id="{D1B490AA-D749-4C22-B7E6-C165A76FBA35}">
            <xm:f>'I. Фін результат'!$F$143</xm:f>
            <x14:dxf>
              <fill>
                <patternFill>
                  <bgColor rgb="FFFF0000"/>
                </patternFill>
              </fill>
            </x14:dxf>
          </x14:cfRule>
          <xm:sqref>J23:K23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AE98"/>
  <sheetViews>
    <sheetView topLeftCell="A71" zoomScale="70" zoomScaleNormal="70" zoomScaleSheetLayoutView="50" workbookViewId="0">
      <selection activeCell="B73" sqref="B73"/>
    </sheetView>
  </sheetViews>
  <sheetFormatPr defaultRowHeight="18.75" outlineLevelRow="1" outlineLevelCol="1"/>
  <cols>
    <col min="1" max="1" width="8.28515625" style="81" customWidth="1"/>
    <col min="2" max="2" width="28.7109375" style="81" customWidth="1"/>
    <col min="3" max="5" width="11.28515625" style="81" customWidth="1"/>
    <col min="6" max="6" width="18.85546875" style="81" customWidth="1"/>
    <col min="7" max="17" width="11" style="81" customWidth="1" outlineLevel="1"/>
    <col min="18" max="18" width="11.5703125" style="81" customWidth="1" outlineLevel="1"/>
    <col min="19" max="21" width="11" style="81" customWidth="1" outlineLevel="1"/>
    <col min="22" max="22" width="14.5703125" style="81" customWidth="1" outlineLevel="1"/>
    <col min="23" max="25" width="11" style="81" customWidth="1" outlineLevel="1"/>
    <col min="26" max="26" width="13.85546875" style="81" customWidth="1" outlineLevel="1"/>
    <col min="27" max="27" width="12" style="81" bestFit="1" customWidth="1"/>
    <col min="28" max="31" width="11" style="81" customWidth="1"/>
    <col min="32" max="16384" width="9.140625" style="81"/>
  </cols>
  <sheetData>
    <row r="1" spans="1:31" ht="18.75" customHeight="1">
      <c r="B1" s="4" t="s">
        <v>330</v>
      </c>
      <c r="C1" s="83"/>
      <c r="D1" s="83"/>
      <c r="E1" s="83"/>
      <c r="F1" s="83"/>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row>
    <row r="2" spans="1:31">
      <c r="A2" s="263"/>
      <c r="B2" s="264"/>
      <c r="C2" s="264"/>
      <c r="D2" s="264"/>
      <c r="E2" s="264"/>
      <c r="F2" s="264"/>
      <c r="G2" s="263"/>
      <c r="H2" s="263"/>
      <c r="I2" s="263"/>
      <c r="J2" s="263"/>
      <c r="K2" s="263"/>
      <c r="L2" s="263"/>
      <c r="M2" s="263"/>
      <c r="N2" s="263"/>
      <c r="O2" s="263"/>
      <c r="P2" s="263"/>
      <c r="Q2" s="263"/>
      <c r="R2" s="263"/>
      <c r="S2" s="263"/>
      <c r="T2" s="189"/>
      <c r="U2" s="189"/>
      <c r="V2" s="189"/>
      <c r="W2" s="189"/>
      <c r="X2" s="189"/>
      <c r="Y2" s="189"/>
      <c r="Z2" s="189"/>
      <c r="AA2" s="189"/>
      <c r="AB2" s="189"/>
      <c r="AC2" s="189"/>
      <c r="AD2" s="189"/>
      <c r="AE2" s="189"/>
    </row>
    <row r="3" spans="1:31" ht="41.25" customHeight="1">
      <c r="A3" s="345" t="s">
        <v>51</v>
      </c>
      <c r="B3" s="487" t="s">
        <v>168</v>
      </c>
      <c r="C3" s="489" t="s">
        <v>169</v>
      </c>
      <c r="D3" s="490"/>
      <c r="E3" s="490"/>
      <c r="F3" s="491"/>
      <c r="G3" s="469" t="s">
        <v>244</v>
      </c>
      <c r="H3" s="482"/>
      <c r="I3" s="482"/>
      <c r="J3" s="482"/>
      <c r="K3" s="482"/>
      <c r="L3" s="482"/>
      <c r="M3" s="470"/>
      <c r="N3" s="354" t="s">
        <v>170</v>
      </c>
      <c r="O3" s="355"/>
      <c r="P3" s="355"/>
      <c r="Q3" s="355"/>
      <c r="R3" s="355"/>
      <c r="S3" s="355"/>
      <c r="T3" s="355"/>
      <c r="U3" s="355"/>
      <c r="V3" s="355"/>
      <c r="W3" s="355"/>
      <c r="X3" s="355"/>
      <c r="Y3" s="356"/>
      <c r="Z3" s="520" t="s">
        <v>339</v>
      </c>
      <c r="AA3" s="521"/>
      <c r="AB3" s="522"/>
      <c r="AC3" s="514" t="s">
        <v>340</v>
      </c>
      <c r="AD3" s="515"/>
      <c r="AE3" s="516"/>
    </row>
    <row r="4" spans="1:31" ht="48.75" customHeight="1">
      <c r="A4" s="346"/>
      <c r="B4" s="488"/>
      <c r="C4" s="492"/>
      <c r="D4" s="493"/>
      <c r="E4" s="493"/>
      <c r="F4" s="494"/>
      <c r="G4" s="473"/>
      <c r="H4" s="484"/>
      <c r="I4" s="484"/>
      <c r="J4" s="484"/>
      <c r="K4" s="484"/>
      <c r="L4" s="484"/>
      <c r="M4" s="474"/>
      <c r="N4" s="354" t="s">
        <v>603</v>
      </c>
      <c r="O4" s="355"/>
      <c r="P4" s="355"/>
      <c r="Q4" s="356"/>
      <c r="R4" s="354" t="s">
        <v>805</v>
      </c>
      <c r="S4" s="355"/>
      <c r="T4" s="355"/>
      <c r="U4" s="356"/>
      <c r="V4" s="354" t="s">
        <v>604</v>
      </c>
      <c r="W4" s="355"/>
      <c r="X4" s="355"/>
      <c r="Y4" s="356"/>
      <c r="Z4" s="523"/>
      <c r="AA4" s="523"/>
      <c r="AB4" s="524"/>
      <c r="AC4" s="517"/>
      <c r="AD4" s="518"/>
      <c r="AE4" s="519"/>
    </row>
    <row r="5" spans="1:31" ht="18" customHeight="1">
      <c r="A5" s="265">
        <v>1</v>
      </c>
      <c r="B5" s="266">
        <v>2</v>
      </c>
      <c r="C5" s="501">
        <v>3</v>
      </c>
      <c r="D5" s="502"/>
      <c r="E5" s="502"/>
      <c r="F5" s="503"/>
      <c r="G5" s="504">
        <v>4</v>
      </c>
      <c r="H5" s="505"/>
      <c r="I5" s="505"/>
      <c r="J5" s="505"/>
      <c r="K5" s="505"/>
      <c r="L5" s="505"/>
      <c r="M5" s="506"/>
      <c r="N5" s="507">
        <v>5</v>
      </c>
      <c r="O5" s="508"/>
      <c r="P5" s="508"/>
      <c r="Q5" s="509"/>
      <c r="R5" s="507">
        <v>6</v>
      </c>
      <c r="S5" s="508"/>
      <c r="T5" s="508"/>
      <c r="U5" s="509"/>
      <c r="V5" s="507">
        <v>7</v>
      </c>
      <c r="W5" s="508"/>
      <c r="X5" s="508"/>
      <c r="Y5" s="509"/>
      <c r="Z5" s="508">
        <v>8</v>
      </c>
      <c r="AA5" s="508"/>
      <c r="AB5" s="509"/>
      <c r="AC5" s="507">
        <v>9</v>
      </c>
      <c r="AD5" s="508"/>
      <c r="AE5" s="509"/>
    </row>
    <row r="6" spans="1:31" ht="20.100000000000001" customHeight="1">
      <c r="A6" s="265">
        <v>1</v>
      </c>
      <c r="B6" s="266" t="s">
        <v>563</v>
      </c>
      <c r="C6" s="501">
        <v>1998</v>
      </c>
      <c r="D6" s="502"/>
      <c r="E6" s="502"/>
      <c r="F6" s="503"/>
      <c r="G6" s="498" t="s">
        <v>564</v>
      </c>
      <c r="H6" s="499"/>
      <c r="I6" s="499"/>
      <c r="J6" s="499"/>
      <c r="K6" s="499"/>
      <c r="L6" s="499"/>
      <c r="M6" s="500"/>
      <c r="N6" s="495">
        <v>17.7</v>
      </c>
      <c r="O6" s="496"/>
      <c r="P6" s="496"/>
      <c r="Q6" s="497"/>
      <c r="R6" s="495">
        <f>-'I. Фін результат'!D36</f>
        <v>26</v>
      </c>
      <c r="S6" s="496"/>
      <c r="T6" s="496"/>
      <c r="U6" s="497"/>
      <c r="V6" s="495">
        <v>0</v>
      </c>
      <c r="W6" s="496"/>
      <c r="X6" s="496"/>
      <c r="Y6" s="497"/>
      <c r="Z6" s="526">
        <f>(V6/R6)*100</f>
        <v>0</v>
      </c>
      <c r="AA6" s="526"/>
      <c r="AB6" s="527"/>
      <c r="AC6" s="525">
        <f>(V6/N6)*100</f>
        <v>0</v>
      </c>
      <c r="AD6" s="526"/>
      <c r="AE6" s="527"/>
    </row>
    <row r="7" spans="1:31" ht="20.100000000000001" customHeight="1">
      <c r="A7" s="265">
        <v>2</v>
      </c>
      <c r="B7" s="266" t="s">
        <v>696</v>
      </c>
      <c r="C7" s="501">
        <v>2004</v>
      </c>
      <c r="D7" s="502"/>
      <c r="E7" s="502"/>
      <c r="F7" s="503"/>
      <c r="G7" s="498" t="s">
        <v>564</v>
      </c>
      <c r="H7" s="499"/>
      <c r="I7" s="499"/>
      <c r="J7" s="499"/>
      <c r="K7" s="499"/>
      <c r="L7" s="499"/>
      <c r="M7" s="500"/>
      <c r="N7" s="495"/>
      <c r="O7" s="496"/>
      <c r="P7" s="496"/>
      <c r="Q7" s="497"/>
      <c r="R7" s="495"/>
      <c r="S7" s="496"/>
      <c r="T7" s="496"/>
      <c r="U7" s="497"/>
      <c r="V7" s="495">
        <v>30</v>
      </c>
      <c r="W7" s="496"/>
      <c r="X7" s="496"/>
      <c r="Y7" s="497"/>
      <c r="Z7" s="526" t="e">
        <f>(V7/R7)*100</f>
        <v>#DIV/0!</v>
      </c>
      <c r="AA7" s="526"/>
      <c r="AB7" s="527"/>
      <c r="AC7" s="525" t="e">
        <f>(V7/N7)*100</f>
        <v>#DIV/0!</v>
      </c>
      <c r="AD7" s="526"/>
      <c r="AE7" s="527"/>
    </row>
    <row r="8" spans="1:31" ht="20.100000000000001" customHeight="1">
      <c r="A8" s="265"/>
      <c r="B8" s="266"/>
      <c r="C8" s="501"/>
      <c r="D8" s="502"/>
      <c r="E8" s="502"/>
      <c r="F8" s="503"/>
      <c r="G8" s="498"/>
      <c r="H8" s="499"/>
      <c r="I8" s="499"/>
      <c r="J8" s="499"/>
      <c r="K8" s="499"/>
      <c r="L8" s="499"/>
      <c r="M8" s="500"/>
      <c r="N8" s="495"/>
      <c r="O8" s="496"/>
      <c r="P8" s="496"/>
      <c r="Q8" s="497"/>
      <c r="R8" s="495"/>
      <c r="S8" s="496"/>
      <c r="T8" s="496"/>
      <c r="U8" s="497"/>
      <c r="V8" s="495"/>
      <c r="W8" s="496"/>
      <c r="X8" s="496"/>
      <c r="Y8" s="497"/>
      <c r="Z8" s="526" t="e">
        <f>(V8/R8)*100</f>
        <v>#DIV/0!</v>
      </c>
      <c r="AA8" s="526"/>
      <c r="AB8" s="527"/>
      <c r="AC8" s="525" t="e">
        <f>(V8/N8)*100</f>
        <v>#DIV/0!</v>
      </c>
      <c r="AD8" s="526"/>
      <c r="AE8" s="527"/>
    </row>
    <row r="9" spans="1:31" ht="20.100000000000001" customHeight="1">
      <c r="A9" s="265"/>
      <c r="B9" s="266"/>
      <c r="C9" s="501"/>
      <c r="D9" s="502"/>
      <c r="E9" s="502"/>
      <c r="F9" s="503"/>
      <c r="G9" s="498"/>
      <c r="H9" s="499"/>
      <c r="I9" s="499"/>
      <c r="J9" s="499"/>
      <c r="K9" s="499"/>
      <c r="L9" s="499"/>
      <c r="M9" s="500"/>
      <c r="N9" s="495"/>
      <c r="O9" s="496"/>
      <c r="P9" s="496"/>
      <c r="Q9" s="497"/>
      <c r="R9" s="495"/>
      <c r="S9" s="496"/>
      <c r="T9" s="496"/>
      <c r="U9" s="497"/>
      <c r="V9" s="495"/>
      <c r="W9" s="496"/>
      <c r="X9" s="496"/>
      <c r="Y9" s="497"/>
      <c r="Z9" s="526" t="e">
        <f>(V9/R9)*100</f>
        <v>#DIV/0!</v>
      </c>
      <c r="AA9" s="526"/>
      <c r="AB9" s="527"/>
      <c r="AC9" s="525" t="e">
        <f>(V9/N9)*100</f>
        <v>#DIV/0!</v>
      </c>
      <c r="AD9" s="526"/>
      <c r="AE9" s="527"/>
    </row>
    <row r="10" spans="1:31" ht="20.100000000000001" customHeight="1">
      <c r="A10" s="548" t="s">
        <v>54</v>
      </c>
      <c r="B10" s="549"/>
      <c r="C10" s="549"/>
      <c r="D10" s="549"/>
      <c r="E10" s="549"/>
      <c r="F10" s="549"/>
      <c r="G10" s="549"/>
      <c r="H10" s="549"/>
      <c r="I10" s="549"/>
      <c r="J10" s="549"/>
      <c r="K10" s="549"/>
      <c r="L10" s="549"/>
      <c r="M10" s="550"/>
      <c r="N10" s="395">
        <f>SUM(N6:N9)</f>
        <v>17.7</v>
      </c>
      <c r="O10" s="510"/>
      <c r="P10" s="510"/>
      <c r="Q10" s="396"/>
      <c r="R10" s="395">
        <f>SUM(R6:R9)</f>
        <v>26</v>
      </c>
      <c r="S10" s="510"/>
      <c r="T10" s="510"/>
      <c r="U10" s="396"/>
      <c r="V10" s="395">
        <f>SUM(V6:V9)</f>
        <v>30</v>
      </c>
      <c r="W10" s="510"/>
      <c r="X10" s="510"/>
      <c r="Y10" s="396"/>
      <c r="Z10" s="545">
        <f>(V10/R10)*100</f>
        <v>115.38461538461537</v>
      </c>
      <c r="AA10" s="545"/>
      <c r="AB10" s="546"/>
      <c r="AC10" s="544">
        <f>(V10/N10)*100</f>
        <v>169.49152542372883</v>
      </c>
      <c r="AD10" s="545"/>
      <c r="AE10" s="546"/>
    </row>
    <row r="11" spans="1:31" ht="18.75" customHeight="1">
      <c r="A11" s="106"/>
      <c r="B11" s="267"/>
      <c r="C11" s="267"/>
      <c r="D11" s="267"/>
      <c r="E11" s="267"/>
      <c r="F11" s="267"/>
      <c r="G11" s="106"/>
      <c r="H11" s="106"/>
      <c r="I11" s="106"/>
      <c r="J11" s="106"/>
      <c r="K11" s="106"/>
      <c r="L11" s="106"/>
      <c r="M11" s="243"/>
      <c r="N11" s="243"/>
      <c r="O11" s="243"/>
      <c r="P11" s="243"/>
      <c r="Q11" s="164"/>
      <c r="R11" s="164"/>
      <c r="S11" s="164"/>
      <c r="T11" s="164"/>
      <c r="U11" s="164"/>
      <c r="V11" s="164"/>
      <c r="W11" s="268"/>
      <c r="X11" s="268"/>
      <c r="Y11" s="268"/>
      <c r="Z11" s="268"/>
      <c r="AA11" s="268"/>
      <c r="AB11" s="268"/>
      <c r="AC11" s="268"/>
      <c r="AD11" s="268"/>
      <c r="AE11" s="268"/>
    </row>
    <row r="12" spans="1:31" s="17" customFormat="1" ht="18.75" customHeight="1">
      <c r="B12" s="4" t="s">
        <v>331</v>
      </c>
      <c r="C12" s="4"/>
      <c r="D12" s="4"/>
      <c r="E12" s="4"/>
      <c r="F12" s="4"/>
    </row>
    <row r="13" spans="1:31" s="17" customFormat="1" ht="18.75" customHeight="1">
      <c r="B13" s="4"/>
      <c r="C13" s="4"/>
      <c r="D13" s="4"/>
      <c r="E13" s="4"/>
      <c r="F13" s="4"/>
    </row>
    <row r="14" spans="1:31" ht="39.75" customHeight="1">
      <c r="A14" s="370" t="s">
        <v>51</v>
      </c>
      <c r="B14" s="555" t="s">
        <v>171</v>
      </c>
      <c r="C14" s="534" t="s">
        <v>168</v>
      </c>
      <c r="D14" s="534"/>
      <c r="E14" s="534"/>
      <c r="F14" s="534"/>
      <c r="G14" s="469" t="s">
        <v>244</v>
      </c>
      <c r="H14" s="482"/>
      <c r="I14" s="482"/>
      <c r="J14" s="482"/>
      <c r="K14" s="482"/>
      <c r="L14" s="482"/>
      <c r="M14" s="470"/>
      <c r="N14" s="469" t="s">
        <v>172</v>
      </c>
      <c r="O14" s="482"/>
      <c r="P14" s="470"/>
      <c r="Q14" s="469" t="s">
        <v>170</v>
      </c>
      <c r="R14" s="482"/>
      <c r="S14" s="482"/>
      <c r="T14" s="482"/>
      <c r="U14" s="482"/>
      <c r="V14" s="482"/>
      <c r="W14" s="482"/>
      <c r="X14" s="482"/>
      <c r="Y14" s="470"/>
      <c r="Z14" s="514" t="s">
        <v>339</v>
      </c>
      <c r="AA14" s="515"/>
      <c r="AB14" s="516"/>
      <c r="AC14" s="514" t="s">
        <v>340</v>
      </c>
      <c r="AD14" s="515"/>
      <c r="AE14" s="516"/>
    </row>
    <row r="15" spans="1:31" ht="18.75" customHeight="1">
      <c r="A15" s="370"/>
      <c r="B15" s="555"/>
      <c r="C15" s="534"/>
      <c r="D15" s="534"/>
      <c r="E15" s="534"/>
      <c r="F15" s="534"/>
      <c r="G15" s="471"/>
      <c r="H15" s="483"/>
      <c r="I15" s="483"/>
      <c r="J15" s="483"/>
      <c r="K15" s="483"/>
      <c r="L15" s="483"/>
      <c r="M15" s="472"/>
      <c r="N15" s="471"/>
      <c r="O15" s="483"/>
      <c r="P15" s="472"/>
      <c r="Q15" s="352" t="s">
        <v>342</v>
      </c>
      <c r="R15" s="352"/>
      <c r="S15" s="352"/>
      <c r="T15" s="352" t="s">
        <v>343</v>
      </c>
      <c r="U15" s="352"/>
      <c r="V15" s="352"/>
      <c r="W15" s="352" t="s">
        <v>344</v>
      </c>
      <c r="X15" s="352"/>
      <c r="Y15" s="352"/>
      <c r="Z15" s="541"/>
      <c r="AA15" s="542"/>
      <c r="AB15" s="543"/>
      <c r="AC15" s="541"/>
      <c r="AD15" s="542"/>
      <c r="AE15" s="543"/>
    </row>
    <row r="16" spans="1:31" ht="27.75" customHeight="1">
      <c r="A16" s="370"/>
      <c r="B16" s="555"/>
      <c r="C16" s="534"/>
      <c r="D16" s="534"/>
      <c r="E16" s="534"/>
      <c r="F16" s="534"/>
      <c r="G16" s="473"/>
      <c r="H16" s="484"/>
      <c r="I16" s="484"/>
      <c r="J16" s="484"/>
      <c r="K16" s="484"/>
      <c r="L16" s="484"/>
      <c r="M16" s="474"/>
      <c r="N16" s="473"/>
      <c r="O16" s="484"/>
      <c r="P16" s="474"/>
      <c r="Q16" s="352"/>
      <c r="R16" s="352"/>
      <c r="S16" s="352"/>
      <c r="T16" s="352"/>
      <c r="U16" s="352"/>
      <c r="V16" s="352"/>
      <c r="W16" s="352"/>
      <c r="X16" s="352"/>
      <c r="Y16" s="352"/>
      <c r="Z16" s="517"/>
      <c r="AA16" s="518"/>
      <c r="AB16" s="519"/>
      <c r="AC16" s="517"/>
      <c r="AD16" s="518"/>
      <c r="AE16" s="519"/>
    </row>
    <row r="17" spans="1:31" ht="18" customHeight="1">
      <c r="A17" s="265">
        <v>1</v>
      </c>
      <c r="B17" s="269">
        <v>2</v>
      </c>
      <c r="C17" s="534">
        <v>3</v>
      </c>
      <c r="D17" s="534"/>
      <c r="E17" s="534"/>
      <c r="F17" s="534"/>
      <c r="G17" s="504">
        <v>4</v>
      </c>
      <c r="H17" s="505"/>
      <c r="I17" s="505"/>
      <c r="J17" s="505"/>
      <c r="K17" s="505"/>
      <c r="L17" s="505"/>
      <c r="M17" s="506"/>
      <c r="N17" s="504">
        <v>5</v>
      </c>
      <c r="O17" s="505"/>
      <c r="P17" s="506"/>
      <c r="Q17" s="504">
        <v>6</v>
      </c>
      <c r="R17" s="505"/>
      <c r="S17" s="506"/>
      <c r="T17" s="504">
        <v>7</v>
      </c>
      <c r="U17" s="505"/>
      <c r="V17" s="506"/>
      <c r="W17" s="504">
        <v>8</v>
      </c>
      <c r="X17" s="505"/>
      <c r="Y17" s="506"/>
      <c r="Z17" s="504">
        <v>9</v>
      </c>
      <c r="AA17" s="505"/>
      <c r="AB17" s="506"/>
      <c r="AC17" s="504">
        <v>10</v>
      </c>
      <c r="AD17" s="505"/>
      <c r="AE17" s="506"/>
    </row>
    <row r="18" spans="1:31">
      <c r="A18" s="270">
        <v>1</v>
      </c>
      <c r="B18" s="269"/>
      <c r="C18" s="534"/>
      <c r="D18" s="534"/>
      <c r="E18" s="534"/>
      <c r="F18" s="534"/>
      <c r="G18" s="538"/>
      <c r="H18" s="539"/>
      <c r="I18" s="539"/>
      <c r="J18" s="539"/>
      <c r="K18" s="539"/>
      <c r="L18" s="539"/>
      <c r="M18" s="540"/>
      <c r="N18" s="530"/>
      <c r="O18" s="531"/>
      <c r="P18" s="532"/>
      <c r="Q18" s="511"/>
      <c r="R18" s="512"/>
      <c r="S18" s="513"/>
      <c r="T18" s="511"/>
      <c r="U18" s="512"/>
      <c r="V18" s="513"/>
      <c r="W18" s="511"/>
      <c r="X18" s="512"/>
      <c r="Y18" s="513"/>
      <c r="Z18" s="526" t="e">
        <f>(W18/T18)*100</f>
        <v>#DIV/0!</v>
      </c>
      <c r="AA18" s="526"/>
      <c r="AB18" s="527"/>
      <c r="AC18" s="526" t="e">
        <f>(W18/Q18)*100</f>
        <v>#DIV/0!</v>
      </c>
      <c r="AD18" s="526"/>
      <c r="AE18" s="527"/>
    </row>
    <row r="19" spans="1:31">
      <c r="A19" s="270">
        <v>2</v>
      </c>
      <c r="B19" s="269"/>
      <c r="C19" s="534"/>
      <c r="D19" s="534"/>
      <c r="E19" s="534"/>
      <c r="F19" s="534"/>
      <c r="G19" s="538"/>
      <c r="H19" s="539"/>
      <c r="I19" s="539"/>
      <c r="J19" s="539"/>
      <c r="K19" s="539"/>
      <c r="L19" s="539"/>
      <c r="M19" s="540"/>
      <c r="N19" s="530"/>
      <c r="O19" s="531"/>
      <c r="P19" s="532"/>
      <c r="Q19" s="511"/>
      <c r="R19" s="512"/>
      <c r="S19" s="513"/>
      <c r="T19" s="511"/>
      <c r="U19" s="512"/>
      <c r="V19" s="513"/>
      <c r="W19" s="511"/>
      <c r="X19" s="512"/>
      <c r="Y19" s="513"/>
      <c r="Z19" s="526" t="e">
        <f>(W19/T19)*100</f>
        <v>#DIV/0!</v>
      </c>
      <c r="AA19" s="526"/>
      <c r="AB19" s="527"/>
      <c r="AC19" s="526" t="e">
        <f>(W19/Q19)*100</f>
        <v>#DIV/0!</v>
      </c>
      <c r="AD19" s="526"/>
      <c r="AE19" s="527"/>
    </row>
    <row r="20" spans="1:31" ht="20.100000000000001" customHeight="1">
      <c r="A20" s="270">
        <v>3</v>
      </c>
      <c r="B20" s="269"/>
      <c r="C20" s="534"/>
      <c r="D20" s="534"/>
      <c r="E20" s="534"/>
      <c r="F20" s="534"/>
      <c r="G20" s="498"/>
      <c r="H20" s="499"/>
      <c r="I20" s="499"/>
      <c r="J20" s="499"/>
      <c r="K20" s="499"/>
      <c r="L20" s="499"/>
      <c r="M20" s="500"/>
      <c r="N20" s="530"/>
      <c r="O20" s="531"/>
      <c r="P20" s="532"/>
      <c r="Q20" s="511"/>
      <c r="R20" s="512"/>
      <c r="S20" s="513"/>
      <c r="T20" s="511"/>
      <c r="U20" s="512"/>
      <c r="V20" s="513"/>
      <c r="W20" s="511"/>
      <c r="X20" s="512"/>
      <c r="Y20" s="513"/>
      <c r="Z20" s="526" t="e">
        <f>(W20/T20)*100</f>
        <v>#DIV/0!</v>
      </c>
      <c r="AA20" s="526"/>
      <c r="AB20" s="527"/>
      <c r="AC20" s="526" t="e">
        <f>(W20/Q20)*100</f>
        <v>#DIV/0!</v>
      </c>
      <c r="AD20" s="526"/>
      <c r="AE20" s="527"/>
    </row>
    <row r="21" spans="1:31" ht="20.100000000000001" customHeight="1">
      <c r="A21" s="270"/>
      <c r="B21" s="269"/>
      <c r="C21" s="534"/>
      <c r="D21" s="534"/>
      <c r="E21" s="534"/>
      <c r="F21" s="534"/>
      <c r="G21" s="498"/>
      <c r="H21" s="499"/>
      <c r="I21" s="499"/>
      <c r="J21" s="499"/>
      <c r="K21" s="499"/>
      <c r="L21" s="499"/>
      <c r="M21" s="500"/>
      <c r="N21" s="530"/>
      <c r="O21" s="531"/>
      <c r="P21" s="532"/>
      <c r="Q21" s="511"/>
      <c r="R21" s="512"/>
      <c r="S21" s="513"/>
      <c r="T21" s="511"/>
      <c r="U21" s="512"/>
      <c r="V21" s="513"/>
      <c r="W21" s="511"/>
      <c r="X21" s="512"/>
      <c r="Y21" s="513"/>
      <c r="Z21" s="526" t="e">
        <f>(W21/T21)*100</f>
        <v>#DIV/0!</v>
      </c>
      <c r="AA21" s="526"/>
      <c r="AB21" s="527"/>
      <c r="AC21" s="526" t="e">
        <f>(W21/Q21)*100</f>
        <v>#DIV/0!</v>
      </c>
      <c r="AD21" s="526"/>
      <c r="AE21" s="527"/>
    </row>
    <row r="22" spans="1:31" ht="20.100000000000001" customHeight="1">
      <c r="A22" s="548" t="s">
        <v>54</v>
      </c>
      <c r="B22" s="549"/>
      <c r="C22" s="549"/>
      <c r="D22" s="549"/>
      <c r="E22" s="549"/>
      <c r="F22" s="549"/>
      <c r="G22" s="549"/>
      <c r="H22" s="549"/>
      <c r="I22" s="549"/>
      <c r="J22" s="549"/>
      <c r="K22" s="549"/>
      <c r="L22" s="549"/>
      <c r="M22" s="550"/>
      <c r="N22" s="548"/>
      <c r="O22" s="549"/>
      <c r="P22" s="550"/>
      <c r="Q22" s="535">
        <f>SUM(Q18:Q21)</f>
        <v>0</v>
      </c>
      <c r="R22" s="536"/>
      <c r="S22" s="537"/>
      <c r="T22" s="535">
        <f>SUM(T18:T21)</f>
        <v>0</v>
      </c>
      <c r="U22" s="536"/>
      <c r="V22" s="537"/>
      <c r="W22" s="535">
        <f>SUM(W18:W21)</f>
        <v>0</v>
      </c>
      <c r="X22" s="536"/>
      <c r="Y22" s="537"/>
      <c r="Z22" s="545" t="e">
        <f>(W22/T22)*100</f>
        <v>#DIV/0!</v>
      </c>
      <c r="AA22" s="545"/>
      <c r="AB22" s="546"/>
      <c r="AC22" s="545" t="e">
        <f>(W22/Q22)*100</f>
        <v>#DIV/0!</v>
      </c>
      <c r="AD22" s="545"/>
      <c r="AE22" s="546"/>
    </row>
    <row r="23" spans="1:31" s="17" customFormat="1" ht="18.75" customHeight="1">
      <c r="B23" s="4" t="s">
        <v>184</v>
      </c>
      <c r="C23" s="4"/>
      <c r="D23" s="4"/>
      <c r="E23" s="4"/>
      <c r="F23" s="4"/>
    </row>
    <row r="24" spans="1:31" ht="19.5" thickBot="1">
      <c r="A24" s="120"/>
      <c r="B24" s="120"/>
      <c r="C24" s="120"/>
      <c r="D24" s="120"/>
      <c r="E24" s="120"/>
      <c r="F24" s="120"/>
      <c r="G24" s="120"/>
      <c r="H24" s="113"/>
      <c r="I24" s="113"/>
      <c r="J24" s="113"/>
      <c r="K24" s="113"/>
      <c r="L24" s="113"/>
      <c r="M24" s="113"/>
      <c r="N24" s="113"/>
      <c r="O24" s="113"/>
      <c r="P24" s="113"/>
      <c r="Q24" s="113"/>
      <c r="R24" s="113"/>
      <c r="S24" s="113"/>
      <c r="T24" s="113"/>
      <c r="U24" s="113"/>
      <c r="V24" s="120"/>
      <c r="AE24" s="271" t="s">
        <v>403</v>
      </c>
    </row>
    <row r="25" spans="1:31" ht="41.25" customHeight="1">
      <c r="A25" s="533" t="s">
        <v>51</v>
      </c>
      <c r="B25" s="559" t="s">
        <v>196</v>
      </c>
      <c r="C25" s="559"/>
      <c r="D25" s="559"/>
      <c r="E25" s="559"/>
      <c r="F25" s="559"/>
      <c r="G25" s="528" t="s">
        <v>53</v>
      </c>
      <c r="H25" s="528"/>
      <c r="I25" s="528"/>
      <c r="J25" s="528"/>
      <c r="K25" s="528"/>
      <c r="L25" s="528" t="s">
        <v>92</v>
      </c>
      <c r="M25" s="528"/>
      <c r="N25" s="528"/>
      <c r="O25" s="528"/>
      <c r="P25" s="529"/>
      <c r="Q25" s="533" t="s">
        <v>485</v>
      </c>
      <c r="R25" s="528"/>
      <c r="S25" s="528"/>
      <c r="T25" s="528"/>
      <c r="U25" s="529"/>
      <c r="V25" s="533" t="s">
        <v>561</v>
      </c>
      <c r="W25" s="528"/>
      <c r="X25" s="528"/>
      <c r="Y25" s="528"/>
      <c r="Z25" s="529"/>
      <c r="AA25" s="551" t="s">
        <v>54</v>
      </c>
      <c r="AB25" s="528"/>
      <c r="AC25" s="528"/>
      <c r="AD25" s="528"/>
      <c r="AE25" s="529"/>
    </row>
    <row r="26" spans="1:31" ht="30" customHeight="1">
      <c r="A26" s="557"/>
      <c r="B26" s="534"/>
      <c r="C26" s="534"/>
      <c r="D26" s="534"/>
      <c r="E26" s="534"/>
      <c r="F26" s="534"/>
      <c r="G26" s="352" t="s">
        <v>83</v>
      </c>
      <c r="H26" s="352" t="s">
        <v>98</v>
      </c>
      <c r="I26" s="352"/>
      <c r="J26" s="352"/>
      <c r="K26" s="352"/>
      <c r="L26" s="352" t="s">
        <v>83</v>
      </c>
      <c r="M26" s="352" t="s">
        <v>98</v>
      </c>
      <c r="N26" s="352"/>
      <c r="O26" s="352"/>
      <c r="P26" s="547"/>
      <c r="Q26" s="557" t="s">
        <v>83</v>
      </c>
      <c r="R26" s="352" t="s">
        <v>98</v>
      </c>
      <c r="S26" s="352"/>
      <c r="T26" s="352"/>
      <c r="U26" s="547"/>
      <c r="V26" s="557" t="s">
        <v>83</v>
      </c>
      <c r="W26" s="352" t="s">
        <v>98</v>
      </c>
      <c r="X26" s="352"/>
      <c r="Y26" s="352"/>
      <c r="Z26" s="547"/>
      <c r="AA26" s="356" t="s">
        <v>83</v>
      </c>
      <c r="AB26" s="352" t="s">
        <v>98</v>
      </c>
      <c r="AC26" s="352"/>
      <c r="AD26" s="352"/>
      <c r="AE26" s="547"/>
    </row>
    <row r="27" spans="1:31" ht="39.950000000000003" customHeight="1">
      <c r="A27" s="557"/>
      <c r="B27" s="534"/>
      <c r="C27" s="534"/>
      <c r="D27" s="534"/>
      <c r="E27" s="534"/>
      <c r="F27" s="534"/>
      <c r="G27" s="352"/>
      <c r="H27" s="129" t="s">
        <v>78</v>
      </c>
      <c r="I27" s="129" t="s">
        <v>79</v>
      </c>
      <c r="J27" s="129" t="s">
        <v>77</v>
      </c>
      <c r="K27" s="129" t="s">
        <v>71</v>
      </c>
      <c r="L27" s="352"/>
      <c r="M27" s="129" t="s">
        <v>78</v>
      </c>
      <c r="N27" s="129" t="s">
        <v>79</v>
      </c>
      <c r="O27" s="129" t="s">
        <v>77</v>
      </c>
      <c r="P27" s="138" t="s">
        <v>71</v>
      </c>
      <c r="Q27" s="557"/>
      <c r="R27" s="129" t="s">
        <v>78</v>
      </c>
      <c r="S27" s="129" t="s">
        <v>79</v>
      </c>
      <c r="T27" s="129" t="s">
        <v>77</v>
      </c>
      <c r="U27" s="138" t="s">
        <v>71</v>
      </c>
      <c r="V27" s="557"/>
      <c r="W27" s="129" t="s">
        <v>78</v>
      </c>
      <c r="X27" s="129" t="s">
        <v>79</v>
      </c>
      <c r="Y27" s="129" t="s">
        <v>77</v>
      </c>
      <c r="Z27" s="138" t="s">
        <v>71</v>
      </c>
      <c r="AA27" s="356"/>
      <c r="AB27" s="129" t="s">
        <v>78</v>
      </c>
      <c r="AC27" s="129" t="s">
        <v>79</v>
      </c>
      <c r="AD27" s="129" t="s">
        <v>77</v>
      </c>
      <c r="AE27" s="138" t="s">
        <v>71</v>
      </c>
    </row>
    <row r="28" spans="1:31" ht="18" customHeight="1">
      <c r="A28" s="137">
        <v>1</v>
      </c>
      <c r="B28" s="534">
        <v>2</v>
      </c>
      <c r="C28" s="534"/>
      <c r="D28" s="534"/>
      <c r="E28" s="534"/>
      <c r="F28" s="534"/>
      <c r="G28" s="129">
        <v>3</v>
      </c>
      <c r="H28" s="129">
        <v>4</v>
      </c>
      <c r="I28" s="129">
        <v>5</v>
      </c>
      <c r="J28" s="129">
        <v>6</v>
      </c>
      <c r="K28" s="129">
        <v>7</v>
      </c>
      <c r="L28" s="129">
        <v>8</v>
      </c>
      <c r="M28" s="129">
        <v>9</v>
      </c>
      <c r="N28" s="129">
        <v>10</v>
      </c>
      <c r="O28" s="129">
        <v>11</v>
      </c>
      <c r="P28" s="138">
        <v>12</v>
      </c>
      <c r="Q28" s="137">
        <v>13</v>
      </c>
      <c r="R28" s="129">
        <v>14</v>
      </c>
      <c r="S28" s="129">
        <v>15</v>
      </c>
      <c r="T28" s="129">
        <v>16</v>
      </c>
      <c r="U28" s="138">
        <v>17</v>
      </c>
      <c r="V28" s="110">
        <v>18</v>
      </c>
      <c r="W28" s="126">
        <v>19</v>
      </c>
      <c r="X28" s="126">
        <v>20</v>
      </c>
      <c r="Y28" s="126">
        <v>21</v>
      </c>
      <c r="Z28" s="111">
        <v>22</v>
      </c>
      <c r="AA28" s="135">
        <v>23</v>
      </c>
      <c r="AB28" s="126">
        <v>24</v>
      </c>
      <c r="AC28" s="126">
        <v>25</v>
      </c>
      <c r="AD28" s="126">
        <v>26</v>
      </c>
      <c r="AE28" s="111">
        <v>27</v>
      </c>
    </row>
    <row r="29" spans="1:31" s="8" customFormat="1" ht="18" customHeight="1">
      <c r="A29" s="272" t="s">
        <v>442</v>
      </c>
      <c r="B29" s="558" t="s">
        <v>443</v>
      </c>
      <c r="C29" s="558"/>
      <c r="D29" s="558"/>
      <c r="E29" s="558"/>
      <c r="F29" s="558"/>
      <c r="G29" s="124"/>
      <c r="H29" s="132"/>
      <c r="I29" s="132"/>
      <c r="J29" s="132"/>
      <c r="K29" s="132"/>
      <c r="L29" s="124"/>
      <c r="M29" s="132"/>
      <c r="N29" s="132"/>
      <c r="O29" s="132"/>
      <c r="P29" s="273"/>
      <c r="Q29" s="92">
        <f>SUM(R29:U29)</f>
        <v>0</v>
      </c>
      <c r="R29" s="274">
        <f>SUM(R30:R30)</f>
        <v>0</v>
      </c>
      <c r="S29" s="274">
        <f>SUM(S30:S30)</f>
        <v>0</v>
      </c>
      <c r="T29" s="274">
        <f>SUM(T30:T30)</f>
        <v>0</v>
      </c>
      <c r="U29" s="275">
        <f>SUM(U30:U30)</f>
        <v>0</v>
      </c>
      <c r="V29" s="92">
        <f>SUM(W29:Z29)</f>
        <v>3747</v>
      </c>
      <c r="W29" s="82">
        <f>SUM(W30:W33)</f>
        <v>0</v>
      </c>
      <c r="X29" s="82">
        <f>SUM(X30:X33)</f>
        <v>0</v>
      </c>
      <c r="Y29" s="82">
        <f>SUM(Y30:Y33)</f>
        <v>0</v>
      </c>
      <c r="Z29" s="82">
        <f>SUM(Z30:Z33)</f>
        <v>3747</v>
      </c>
      <c r="AA29" s="131">
        <f>SUM(AB29:AE29)</f>
        <v>3747</v>
      </c>
      <c r="AB29" s="276">
        <f>SUM(AB30:AB33)</f>
        <v>0</v>
      </c>
      <c r="AC29" s="276">
        <f>SUM(AC30:AC33)</f>
        <v>0</v>
      </c>
      <c r="AD29" s="276">
        <f>SUM(AD30:AD33)</f>
        <v>0</v>
      </c>
      <c r="AE29" s="276">
        <f>SUM(AE30:AE33)</f>
        <v>3747</v>
      </c>
    </row>
    <row r="30" spans="1:31" ht="105.75" customHeight="1">
      <c r="A30" s="277">
        <v>1</v>
      </c>
      <c r="B30" s="434" t="s">
        <v>565</v>
      </c>
      <c r="C30" s="435"/>
      <c r="D30" s="435"/>
      <c r="E30" s="435"/>
      <c r="F30" s="436"/>
      <c r="G30" s="125"/>
      <c r="H30" s="125"/>
      <c r="I30" s="125"/>
      <c r="J30" s="125"/>
      <c r="K30" s="125"/>
      <c r="L30" s="125"/>
      <c r="M30" s="125"/>
      <c r="N30" s="125"/>
      <c r="O30" s="125"/>
      <c r="P30" s="278"/>
      <c r="Q30" s="279"/>
      <c r="R30" s="125"/>
      <c r="S30" s="125"/>
      <c r="T30" s="125"/>
      <c r="U30" s="278"/>
      <c r="V30" s="279">
        <f t="shared" ref="V30:V33" si="0">SUM(W30,X30,Y30,Z30)</f>
        <v>1587</v>
      </c>
      <c r="W30" s="125"/>
      <c r="X30" s="280"/>
      <c r="Y30" s="280"/>
      <c r="Z30" s="281">
        <v>1587</v>
      </c>
      <c r="AA30" s="128">
        <f>SUM(AB30,AC30,AD30,AE30)</f>
        <v>1587</v>
      </c>
      <c r="AB30" s="125">
        <f t="shared" ref="AB30:AE30" si="1">SUM(H30,M30,R30,W30)</f>
        <v>0</v>
      </c>
      <c r="AC30" s="125">
        <f t="shared" si="1"/>
        <v>0</v>
      </c>
      <c r="AD30" s="125">
        <f t="shared" si="1"/>
        <v>0</v>
      </c>
      <c r="AE30" s="125">
        <f t="shared" si="1"/>
        <v>1587</v>
      </c>
    </row>
    <row r="31" spans="1:31" ht="105.75" customHeight="1">
      <c r="A31" s="282"/>
      <c r="B31" s="434" t="s">
        <v>802</v>
      </c>
      <c r="C31" s="435"/>
      <c r="D31" s="435"/>
      <c r="E31" s="435"/>
      <c r="F31" s="436"/>
      <c r="G31" s="125"/>
      <c r="H31" s="125"/>
      <c r="I31" s="125"/>
      <c r="J31" s="125"/>
      <c r="K31" s="125"/>
      <c r="L31" s="125"/>
      <c r="M31" s="125"/>
      <c r="N31" s="125"/>
      <c r="O31" s="125"/>
      <c r="P31" s="278"/>
      <c r="Q31" s="279"/>
      <c r="R31" s="125"/>
      <c r="S31" s="125"/>
      <c r="T31" s="125"/>
      <c r="U31" s="278"/>
      <c r="V31" s="279">
        <f t="shared" si="0"/>
        <v>620</v>
      </c>
      <c r="W31" s="125"/>
      <c r="X31" s="280"/>
      <c r="Y31" s="280"/>
      <c r="Z31" s="281">
        <v>620</v>
      </c>
      <c r="AA31" s="128">
        <f t="shared" ref="AA31:AA32" si="2">SUM(AB31,AC31,AD31,AE31)</f>
        <v>620</v>
      </c>
      <c r="AB31" s="125">
        <f t="shared" ref="AB31:AB32" si="3">SUM(H31,M31,R31,W31)</f>
        <v>0</v>
      </c>
      <c r="AC31" s="125">
        <f t="shared" ref="AC31:AC32" si="4">SUM(I31,N31,S31,X31)</f>
        <v>0</v>
      </c>
      <c r="AD31" s="125">
        <f t="shared" ref="AD31:AD32" si="5">SUM(J31,O31,T31,Y31)</f>
        <v>0</v>
      </c>
      <c r="AE31" s="125">
        <f t="shared" ref="AE31:AE32" si="6">SUM(K31,P31,U31,Z31)</f>
        <v>620</v>
      </c>
    </row>
    <row r="32" spans="1:31" ht="105.75" customHeight="1">
      <c r="A32" s="282"/>
      <c r="B32" s="434" t="s">
        <v>803</v>
      </c>
      <c r="C32" s="435"/>
      <c r="D32" s="435"/>
      <c r="E32" s="435"/>
      <c r="F32" s="436"/>
      <c r="G32" s="125"/>
      <c r="H32" s="125"/>
      <c r="I32" s="125"/>
      <c r="J32" s="125"/>
      <c r="K32" s="125"/>
      <c r="L32" s="125"/>
      <c r="M32" s="125"/>
      <c r="N32" s="125"/>
      <c r="O32" s="125"/>
      <c r="P32" s="278"/>
      <c r="Q32" s="279"/>
      <c r="R32" s="125"/>
      <c r="S32" s="125"/>
      <c r="T32" s="125"/>
      <c r="U32" s="278"/>
      <c r="V32" s="279">
        <f t="shared" si="0"/>
        <v>920</v>
      </c>
      <c r="W32" s="125"/>
      <c r="X32" s="280"/>
      <c r="Y32" s="280"/>
      <c r="Z32" s="281">
        <v>920</v>
      </c>
      <c r="AA32" s="128">
        <f t="shared" si="2"/>
        <v>920</v>
      </c>
      <c r="AB32" s="125">
        <f t="shared" si="3"/>
        <v>0</v>
      </c>
      <c r="AC32" s="125">
        <f t="shared" si="4"/>
        <v>0</v>
      </c>
      <c r="AD32" s="125">
        <f t="shared" si="5"/>
        <v>0</v>
      </c>
      <c r="AE32" s="125">
        <f t="shared" si="6"/>
        <v>920</v>
      </c>
    </row>
    <row r="33" spans="1:31" ht="114" customHeight="1">
      <c r="A33" s="282">
        <v>2</v>
      </c>
      <c r="B33" s="434" t="s">
        <v>804</v>
      </c>
      <c r="C33" s="435"/>
      <c r="D33" s="435"/>
      <c r="E33" s="435"/>
      <c r="F33" s="436"/>
      <c r="G33" s="125"/>
      <c r="H33" s="125"/>
      <c r="I33" s="125"/>
      <c r="J33" s="125"/>
      <c r="K33" s="125"/>
      <c r="L33" s="125"/>
      <c r="M33" s="125"/>
      <c r="N33" s="125"/>
      <c r="O33" s="125"/>
      <c r="P33" s="278"/>
      <c r="Q33" s="279"/>
      <c r="R33" s="125"/>
      <c r="S33" s="125"/>
      <c r="T33" s="125"/>
      <c r="U33" s="278"/>
      <c r="V33" s="279">
        <f t="shared" si="0"/>
        <v>620</v>
      </c>
      <c r="W33" s="125"/>
      <c r="X33" s="280"/>
      <c r="Y33" s="280"/>
      <c r="Z33" s="281">
        <v>620</v>
      </c>
      <c r="AA33" s="128">
        <f>SUM(AB33,AC33,AD33,AE33)</f>
        <v>620</v>
      </c>
      <c r="AB33" s="125">
        <f t="shared" ref="AB33" si="7">SUM(H33,M33,R33,W33)</f>
        <v>0</v>
      </c>
      <c r="AC33" s="125">
        <f t="shared" ref="AC33" si="8">SUM(I33,N33,S33,X33)</f>
        <v>0</v>
      </c>
      <c r="AD33" s="125">
        <f t="shared" ref="AD33" si="9">SUM(J33,O33,T33,Y33)</f>
        <v>0</v>
      </c>
      <c r="AE33" s="125">
        <f t="shared" ref="AE33" si="10">SUM(K33,P33,U33,Z33)</f>
        <v>620</v>
      </c>
    </row>
    <row r="34" spans="1:31" s="8" customFormat="1" ht="33" customHeight="1">
      <c r="A34" s="272" t="s">
        <v>444</v>
      </c>
      <c r="B34" s="437" t="s">
        <v>445</v>
      </c>
      <c r="C34" s="438"/>
      <c r="D34" s="438"/>
      <c r="E34" s="438"/>
      <c r="F34" s="439"/>
      <c r="G34" s="124"/>
      <c r="H34" s="132"/>
      <c r="I34" s="132"/>
      <c r="J34" s="132"/>
      <c r="K34" s="132"/>
      <c r="L34" s="124"/>
      <c r="M34" s="132"/>
      <c r="N34" s="132"/>
      <c r="O34" s="132"/>
      <c r="P34" s="273"/>
      <c r="Q34" s="92">
        <f>SUM(R34,S34,T34,U34)</f>
        <v>0</v>
      </c>
      <c r="R34" s="274">
        <f>SUM(R35:R42)</f>
        <v>0</v>
      </c>
      <c r="S34" s="274">
        <f>SUM(S35:S42)</f>
        <v>0</v>
      </c>
      <c r="T34" s="274">
        <f>SUM(T35:T42)</f>
        <v>0</v>
      </c>
      <c r="U34" s="275">
        <f>SUM(U35:U42)</f>
        <v>0</v>
      </c>
      <c r="V34" s="92">
        <f>W34+X34+Y34+Z34</f>
        <v>21063</v>
      </c>
      <c r="W34" s="82">
        <f>SUM(W35:W42)</f>
        <v>46</v>
      </c>
      <c r="X34" s="283">
        <f>SUM(X35:X42)</f>
        <v>564</v>
      </c>
      <c r="Y34" s="283">
        <f>SUM(Y35:Y42)</f>
        <v>2748</v>
      </c>
      <c r="Z34" s="284">
        <f>SUM(Z35:Z42)</f>
        <v>17705</v>
      </c>
      <c r="AA34" s="131">
        <f t="shared" ref="AA34:AA42" si="11">SUM(AB34,AC34,AD34,AE34)</f>
        <v>21063</v>
      </c>
      <c r="AB34" s="276">
        <f>SUM(AB35:AB42)</f>
        <v>46</v>
      </c>
      <c r="AC34" s="276">
        <f>SUM(AC35:AC42)</f>
        <v>564</v>
      </c>
      <c r="AD34" s="276">
        <f>SUM(AD35:AD42)</f>
        <v>2748</v>
      </c>
      <c r="AE34" s="276">
        <f>SUM(AE35:AE42)</f>
        <v>17705</v>
      </c>
    </row>
    <row r="35" spans="1:31" ht="111.75" customHeight="1">
      <c r="A35" s="277">
        <v>1</v>
      </c>
      <c r="B35" s="389" t="s">
        <v>676</v>
      </c>
      <c r="C35" s="324"/>
      <c r="D35" s="324"/>
      <c r="E35" s="324"/>
      <c r="F35" s="390"/>
      <c r="G35" s="125">
        <f>SUM(H35,I35,J35,K35)</f>
        <v>0</v>
      </c>
      <c r="H35" s="125"/>
      <c r="I35" s="125"/>
      <c r="J35" s="125"/>
      <c r="K35" s="125"/>
      <c r="L35" s="125">
        <f>SUM(M35,N35,O35,P35)</f>
        <v>0</v>
      </c>
      <c r="M35" s="125"/>
      <c r="N35" s="125"/>
      <c r="O35" s="125"/>
      <c r="P35" s="278"/>
      <c r="Q35" s="279">
        <f>SUM(R35,S35,T35,U35)</f>
        <v>0</v>
      </c>
      <c r="R35" s="125"/>
      <c r="S35" s="125"/>
      <c r="T35" s="125"/>
      <c r="U35" s="278"/>
      <c r="V35" s="279">
        <f>SUM(W35:Z35)</f>
        <v>8195</v>
      </c>
      <c r="W35" s="125"/>
      <c r="X35" s="280"/>
      <c r="Y35" s="280"/>
      <c r="Z35" s="285">
        <v>8195</v>
      </c>
      <c r="AA35" s="128">
        <f t="shared" si="11"/>
        <v>8195</v>
      </c>
      <c r="AB35" s="125">
        <f t="shared" ref="AB35:AE35" si="12">SUM(H35,M35,R35,W35)</f>
        <v>0</v>
      </c>
      <c r="AC35" s="125">
        <f t="shared" si="12"/>
        <v>0</v>
      </c>
      <c r="AD35" s="125">
        <f t="shared" si="12"/>
        <v>0</v>
      </c>
      <c r="AE35" s="125">
        <f t="shared" si="12"/>
        <v>8195</v>
      </c>
    </row>
    <row r="36" spans="1:31" ht="72.75" customHeight="1">
      <c r="A36" s="277">
        <v>2</v>
      </c>
      <c r="B36" s="389" t="s">
        <v>687</v>
      </c>
      <c r="C36" s="324"/>
      <c r="D36" s="324"/>
      <c r="E36" s="324"/>
      <c r="F36" s="390"/>
      <c r="G36" s="125"/>
      <c r="H36" s="125"/>
      <c r="I36" s="125"/>
      <c r="J36" s="125"/>
      <c r="K36" s="125"/>
      <c r="L36" s="125"/>
      <c r="M36" s="125"/>
      <c r="N36" s="125"/>
      <c r="O36" s="125"/>
      <c r="P36" s="278"/>
      <c r="Q36" s="279"/>
      <c r="R36" s="125"/>
      <c r="S36" s="125"/>
      <c r="T36" s="125"/>
      <c r="U36" s="278"/>
      <c r="V36" s="279">
        <f>SUM(W36:Z36)</f>
        <v>5</v>
      </c>
      <c r="W36" s="125">
        <v>5</v>
      </c>
      <c r="X36" s="280"/>
      <c r="Y36" s="280"/>
      <c r="Z36" s="285"/>
      <c r="AA36" s="128">
        <f t="shared" ref="AA36" si="13">SUM(AB36,AC36,AD36,AE36)</f>
        <v>5</v>
      </c>
      <c r="AB36" s="125">
        <f t="shared" ref="AB36" si="14">SUM(H36,M36,R36,W36)</f>
        <v>5</v>
      </c>
      <c r="AC36" s="125">
        <f t="shared" ref="AC36" si="15">SUM(I36,N36,S36,X36)</f>
        <v>0</v>
      </c>
      <c r="AD36" s="125">
        <f t="shared" ref="AD36" si="16">SUM(J36,O36,T36,Y36)</f>
        <v>0</v>
      </c>
      <c r="AE36" s="125">
        <f t="shared" ref="AE36" si="17">SUM(K36,P36,U36,Z36)</f>
        <v>0</v>
      </c>
    </row>
    <row r="37" spans="1:31" ht="73.5" customHeight="1">
      <c r="A37" s="277">
        <v>3</v>
      </c>
      <c r="B37" s="389" t="s">
        <v>673</v>
      </c>
      <c r="C37" s="324"/>
      <c r="D37" s="324"/>
      <c r="E37" s="324"/>
      <c r="F37" s="390"/>
      <c r="G37" s="125"/>
      <c r="H37" s="125"/>
      <c r="I37" s="125"/>
      <c r="J37" s="125"/>
      <c r="K37" s="125"/>
      <c r="L37" s="125"/>
      <c r="M37" s="125"/>
      <c r="N37" s="125"/>
      <c r="O37" s="125"/>
      <c r="P37" s="278"/>
      <c r="Q37" s="279"/>
      <c r="R37" s="125"/>
      <c r="S37" s="125"/>
      <c r="T37" s="125"/>
      <c r="U37" s="278"/>
      <c r="V37" s="279">
        <f>SUM(W37:Z37)</f>
        <v>8557</v>
      </c>
      <c r="W37" s="125"/>
      <c r="X37" s="280"/>
      <c r="Y37" s="280"/>
      <c r="Z37" s="286">
        <v>8557</v>
      </c>
      <c r="AA37" s="128">
        <f t="shared" ref="AA37" si="18">SUM(AB37,AC37,AD37,AE37)</f>
        <v>8557</v>
      </c>
      <c r="AB37" s="125">
        <f t="shared" ref="AB37" si="19">SUM(H37,M37,R37,W37)</f>
        <v>0</v>
      </c>
      <c r="AC37" s="125">
        <f t="shared" ref="AC37" si="20">SUM(I37,N37,S37,X37)</f>
        <v>0</v>
      </c>
      <c r="AD37" s="125">
        <f t="shared" ref="AD37" si="21">SUM(J37,O37,T37,Y37)</f>
        <v>0</v>
      </c>
      <c r="AE37" s="125">
        <f t="shared" ref="AE37" si="22">SUM(K37,P37,U37,Z37)</f>
        <v>8557</v>
      </c>
    </row>
    <row r="38" spans="1:31">
      <c r="A38" s="277">
        <v>4</v>
      </c>
      <c r="B38" s="389" t="s">
        <v>661</v>
      </c>
      <c r="C38" s="324"/>
      <c r="D38" s="324"/>
      <c r="E38" s="324"/>
      <c r="F38" s="390"/>
      <c r="G38" s="125"/>
      <c r="H38" s="125"/>
      <c r="I38" s="125"/>
      <c r="J38" s="125"/>
      <c r="K38" s="125"/>
      <c r="L38" s="125"/>
      <c r="M38" s="125"/>
      <c r="N38" s="125"/>
      <c r="O38" s="125"/>
      <c r="P38" s="278"/>
      <c r="Q38" s="279"/>
      <c r="R38" s="125"/>
      <c r="S38" s="125"/>
      <c r="T38" s="125"/>
      <c r="U38" s="278"/>
      <c r="V38" s="279">
        <f t="shared" ref="V38:V41" si="23">SUM(W38:Z38)</f>
        <v>690</v>
      </c>
      <c r="W38" s="125"/>
      <c r="X38" s="280">
        <v>0</v>
      </c>
      <c r="Y38" s="280">
        <v>625</v>
      </c>
      <c r="Z38" s="285">
        <v>65</v>
      </c>
      <c r="AA38" s="128">
        <f t="shared" ref="AA38:AA40" si="24">SUM(AB38,AC38,AD38,AE38)</f>
        <v>690</v>
      </c>
      <c r="AB38" s="125">
        <f t="shared" ref="AB38:AB40" si="25">SUM(H38,M38,R38,W38)</f>
        <v>0</v>
      </c>
      <c r="AC38" s="125">
        <f t="shared" ref="AC38:AC40" si="26">SUM(I38,N38,S38,X38)</f>
        <v>0</v>
      </c>
      <c r="AD38" s="125">
        <f t="shared" ref="AD38:AD40" si="27">SUM(J38,O38,T38,Y38)</f>
        <v>625</v>
      </c>
      <c r="AE38" s="125">
        <f t="shared" ref="AE38:AE40" si="28">SUM(K38,P38,U38,Z38)</f>
        <v>65</v>
      </c>
    </row>
    <row r="39" spans="1:31">
      <c r="A39" s="277">
        <v>5</v>
      </c>
      <c r="B39" s="389" t="s">
        <v>662</v>
      </c>
      <c r="C39" s="324"/>
      <c r="D39" s="324"/>
      <c r="E39" s="324"/>
      <c r="F39" s="390"/>
      <c r="G39" s="125"/>
      <c r="H39" s="125"/>
      <c r="I39" s="125"/>
      <c r="J39" s="125"/>
      <c r="K39" s="125"/>
      <c r="L39" s="125"/>
      <c r="M39" s="125"/>
      <c r="N39" s="125"/>
      <c r="O39" s="125"/>
      <c r="P39" s="278"/>
      <c r="Q39" s="279"/>
      <c r="R39" s="125"/>
      <c r="S39" s="125"/>
      <c r="T39" s="125"/>
      <c r="U39" s="278"/>
      <c r="V39" s="279">
        <f t="shared" si="23"/>
        <v>217</v>
      </c>
      <c r="W39" s="125"/>
      <c r="X39" s="280">
        <v>217</v>
      </c>
      <c r="Y39" s="280"/>
      <c r="Z39" s="285"/>
      <c r="AA39" s="128">
        <f t="shared" si="24"/>
        <v>217</v>
      </c>
      <c r="AB39" s="125">
        <f t="shared" si="25"/>
        <v>0</v>
      </c>
      <c r="AC39" s="125">
        <f t="shared" si="26"/>
        <v>217</v>
      </c>
      <c r="AD39" s="125">
        <f t="shared" si="27"/>
        <v>0</v>
      </c>
      <c r="AE39" s="125">
        <f t="shared" si="28"/>
        <v>0</v>
      </c>
    </row>
    <row r="40" spans="1:31" ht="33" customHeight="1">
      <c r="A40" s="277">
        <v>6</v>
      </c>
      <c r="B40" s="389" t="s">
        <v>578</v>
      </c>
      <c r="C40" s="324"/>
      <c r="D40" s="324"/>
      <c r="E40" s="324"/>
      <c r="F40" s="390"/>
      <c r="G40" s="125"/>
      <c r="H40" s="125"/>
      <c r="I40" s="125"/>
      <c r="J40" s="125"/>
      <c r="K40" s="125"/>
      <c r="L40" s="125"/>
      <c r="M40" s="125"/>
      <c r="N40" s="125"/>
      <c r="O40" s="125"/>
      <c r="P40" s="278"/>
      <c r="Q40" s="279"/>
      <c r="R40" s="125"/>
      <c r="S40" s="125"/>
      <c r="T40" s="125"/>
      <c r="U40" s="278"/>
      <c r="V40" s="279">
        <f t="shared" si="23"/>
        <v>1041</v>
      </c>
      <c r="W40" s="125"/>
      <c r="X40" s="280">
        <v>300</v>
      </c>
      <c r="Y40" s="280">
        <v>141</v>
      </c>
      <c r="Z40" s="285">
        <v>600</v>
      </c>
      <c r="AA40" s="128">
        <f t="shared" si="24"/>
        <v>1041</v>
      </c>
      <c r="AB40" s="125">
        <f t="shared" si="25"/>
        <v>0</v>
      </c>
      <c r="AC40" s="125">
        <f t="shared" si="26"/>
        <v>300</v>
      </c>
      <c r="AD40" s="125">
        <f t="shared" si="27"/>
        <v>141</v>
      </c>
      <c r="AE40" s="125">
        <f t="shared" si="28"/>
        <v>600</v>
      </c>
    </row>
    <row r="41" spans="1:31" ht="33" customHeight="1">
      <c r="A41" s="277">
        <v>7</v>
      </c>
      <c r="B41" s="389" t="s">
        <v>467</v>
      </c>
      <c r="C41" s="324"/>
      <c r="D41" s="324"/>
      <c r="E41" s="324"/>
      <c r="F41" s="390"/>
      <c r="G41" s="125"/>
      <c r="H41" s="125"/>
      <c r="I41" s="125"/>
      <c r="J41" s="125"/>
      <c r="K41" s="125"/>
      <c r="L41" s="125"/>
      <c r="M41" s="125"/>
      <c r="N41" s="125"/>
      <c r="O41" s="125"/>
      <c r="P41" s="278"/>
      <c r="Q41" s="279"/>
      <c r="R41" s="125"/>
      <c r="S41" s="125"/>
      <c r="T41" s="125"/>
      <c r="U41" s="278"/>
      <c r="V41" s="279">
        <f t="shared" si="23"/>
        <v>957</v>
      </c>
      <c r="W41" s="125"/>
      <c r="X41" s="280"/>
      <c r="Y41" s="280">
        <v>957</v>
      </c>
      <c r="Z41" s="285"/>
      <c r="AA41" s="128">
        <f t="shared" ref="AA41" si="29">SUM(AB41,AC41,AD41,AE41)</f>
        <v>957</v>
      </c>
      <c r="AB41" s="125">
        <f t="shared" ref="AB41" si="30">SUM(H41,M41,R41,W41)</f>
        <v>0</v>
      </c>
      <c r="AC41" s="125">
        <f t="shared" ref="AC41" si="31">SUM(I41,N41,S41,X41)</f>
        <v>0</v>
      </c>
      <c r="AD41" s="125">
        <f t="shared" ref="AD41" si="32">SUM(J41,O41,T41,Y41)</f>
        <v>957</v>
      </c>
      <c r="AE41" s="125">
        <f t="shared" ref="AE41" si="33">SUM(K41,P41,U41,Z41)</f>
        <v>0</v>
      </c>
    </row>
    <row r="42" spans="1:31" ht="39.75" customHeight="1">
      <c r="A42" s="277">
        <v>8</v>
      </c>
      <c r="B42" s="389" t="s">
        <v>663</v>
      </c>
      <c r="C42" s="324"/>
      <c r="D42" s="324"/>
      <c r="E42" s="324"/>
      <c r="F42" s="390"/>
      <c r="G42" s="125">
        <f>SUM(H42,I42,J42,K42)</f>
        <v>0</v>
      </c>
      <c r="H42" s="125"/>
      <c r="I42" s="125"/>
      <c r="J42" s="125"/>
      <c r="K42" s="125"/>
      <c r="L42" s="125">
        <f>SUM(M42,N42,O42,P42)</f>
        <v>0</v>
      </c>
      <c r="M42" s="125"/>
      <c r="N42" s="125"/>
      <c r="O42" s="125"/>
      <c r="P42" s="278"/>
      <c r="Q42" s="279">
        <f>SUM(R42,S42,T42,U42)</f>
        <v>0</v>
      </c>
      <c r="R42" s="125"/>
      <c r="S42" s="125"/>
      <c r="T42" s="125"/>
      <c r="U42" s="278"/>
      <c r="V42" s="279">
        <f>SUM(W42:Z42)</f>
        <v>1401</v>
      </c>
      <c r="W42" s="125">
        <v>41</v>
      </c>
      <c r="X42" s="280">
        <v>47</v>
      </c>
      <c r="Y42" s="280">
        <v>1025</v>
      </c>
      <c r="Z42" s="285">
        <v>288</v>
      </c>
      <c r="AA42" s="128">
        <f t="shared" si="11"/>
        <v>1401</v>
      </c>
      <c r="AB42" s="125">
        <f>SUM(H42,M42,R42,W42)</f>
        <v>41</v>
      </c>
      <c r="AC42" s="125">
        <f>SUM(I42,N42,S42,X42)</f>
        <v>47</v>
      </c>
      <c r="AD42" s="125">
        <f>SUM(J42,O42,T42,Y42)</f>
        <v>1025</v>
      </c>
      <c r="AE42" s="125">
        <f>SUM(K42,P42,U42,Z42)</f>
        <v>288</v>
      </c>
    </row>
    <row r="43" spans="1:31" s="8" customFormat="1">
      <c r="A43" s="272" t="s">
        <v>446</v>
      </c>
      <c r="B43" s="455" t="s">
        <v>447</v>
      </c>
      <c r="C43" s="456"/>
      <c r="D43" s="456"/>
      <c r="E43" s="456"/>
      <c r="F43" s="457"/>
      <c r="G43" s="124"/>
      <c r="H43" s="132"/>
      <c r="I43" s="132"/>
      <c r="J43" s="132"/>
      <c r="K43" s="132"/>
      <c r="L43" s="124"/>
      <c r="M43" s="132"/>
      <c r="N43" s="132"/>
      <c r="O43" s="132"/>
      <c r="P43" s="273"/>
      <c r="Q43" s="92">
        <f t="shared" ref="Q43" si="34">SUM(R43:U43)</f>
        <v>0</v>
      </c>
      <c r="R43" s="82">
        <f>SUM(R44:R47)</f>
        <v>0</v>
      </c>
      <c r="S43" s="82">
        <f>SUM(S44:S47)</f>
        <v>0</v>
      </c>
      <c r="T43" s="82">
        <f>SUM(T44:T47)</f>
        <v>0</v>
      </c>
      <c r="U43" s="82">
        <f>SUM(U44:U47)</f>
        <v>0</v>
      </c>
      <c r="V43" s="92">
        <f t="shared" ref="V43:V53" si="35">SUM(W43:Z43)</f>
        <v>1249</v>
      </c>
      <c r="W43" s="82">
        <f>SUM(W44:W47)</f>
        <v>371</v>
      </c>
      <c r="X43" s="283">
        <f>SUM(X44:X47)</f>
        <v>192</v>
      </c>
      <c r="Y43" s="283">
        <f>SUM(Y44:Y47)</f>
        <v>285</v>
      </c>
      <c r="Z43" s="283">
        <f>SUM(Z44:Z47)</f>
        <v>401</v>
      </c>
      <c r="AA43" s="131">
        <f>SUM(AB43,AC43,AD43,AE43)</f>
        <v>1249</v>
      </c>
      <c r="AB43" s="82">
        <f>SUM(AB44:AB47)</f>
        <v>371</v>
      </c>
      <c r="AC43" s="82">
        <f>SUM(AC44:AC47)</f>
        <v>192</v>
      </c>
      <c r="AD43" s="82">
        <f>SUM(AD44:AD47)</f>
        <v>285</v>
      </c>
      <c r="AE43" s="82">
        <f>SUM(AE44:AE47)</f>
        <v>401</v>
      </c>
    </row>
    <row r="44" spans="1:31" ht="22.5" customHeight="1">
      <c r="A44" s="287">
        <v>1</v>
      </c>
      <c r="B44" s="446" t="s">
        <v>467</v>
      </c>
      <c r="C44" s="447"/>
      <c r="D44" s="447"/>
      <c r="E44" s="447"/>
      <c r="F44" s="448"/>
      <c r="G44" s="124"/>
      <c r="H44" s="124"/>
      <c r="I44" s="124"/>
      <c r="J44" s="124"/>
      <c r="K44" s="124"/>
      <c r="L44" s="124"/>
      <c r="M44" s="124"/>
      <c r="N44" s="124"/>
      <c r="O44" s="124"/>
      <c r="P44" s="288"/>
      <c r="Q44" s="279"/>
      <c r="R44" s="125"/>
      <c r="S44" s="125"/>
      <c r="T44" s="125"/>
      <c r="U44" s="278"/>
      <c r="V44" s="128">
        <f t="shared" si="35"/>
        <v>131</v>
      </c>
      <c r="W44" s="125"/>
      <c r="X44" s="289"/>
      <c r="Y44" s="290">
        <v>131</v>
      </c>
      <c r="Z44" s="291"/>
      <c r="AA44" s="279">
        <f t="shared" ref="AA44:AA52" si="36">SUM(AB44,AC44,AD44,AE44)</f>
        <v>131</v>
      </c>
      <c r="AB44" s="321">
        <f t="shared" ref="AB44" si="37">H44+M44+R44+W44</f>
        <v>0</v>
      </c>
      <c r="AC44" s="321">
        <f t="shared" ref="AC44" si="38">I44+N44+S44+X44</f>
        <v>0</v>
      </c>
      <c r="AD44" s="321">
        <f t="shared" ref="AD44" si="39">J44+O44+T44+Y44</f>
        <v>131</v>
      </c>
      <c r="AE44" s="321">
        <f t="shared" ref="AE44" si="40">K44+P44+U44+Z44</f>
        <v>0</v>
      </c>
    </row>
    <row r="45" spans="1:31">
      <c r="A45" s="287">
        <v>2</v>
      </c>
      <c r="B45" s="443" t="s">
        <v>664</v>
      </c>
      <c r="C45" s="444"/>
      <c r="D45" s="444"/>
      <c r="E45" s="444"/>
      <c r="F45" s="445"/>
      <c r="G45" s="124"/>
      <c r="H45" s="124"/>
      <c r="I45" s="124"/>
      <c r="J45" s="124"/>
      <c r="K45" s="124"/>
      <c r="L45" s="124"/>
      <c r="M45" s="124"/>
      <c r="N45" s="124"/>
      <c r="O45" s="124"/>
      <c r="P45" s="288"/>
      <c r="Q45" s="279"/>
      <c r="R45" s="125"/>
      <c r="S45" s="125"/>
      <c r="T45" s="125"/>
      <c r="U45" s="278"/>
      <c r="V45" s="128">
        <f t="shared" si="35"/>
        <v>199</v>
      </c>
      <c r="W45" s="125"/>
      <c r="X45" s="125">
        <v>50</v>
      </c>
      <c r="Y45" s="125">
        <v>149</v>
      </c>
      <c r="Z45" s="127"/>
      <c r="AA45" s="279">
        <f t="shared" ref="AA45:AA47" si="41">SUM(AB45,AC45,AD45,AE45)</f>
        <v>199</v>
      </c>
      <c r="AB45" s="125">
        <f t="shared" ref="AB45:AB47" si="42">H45+M45+R45+W45</f>
        <v>0</v>
      </c>
      <c r="AC45" s="125">
        <f t="shared" ref="AC45:AC47" si="43">I45+N45+S45+X45</f>
        <v>50</v>
      </c>
      <c r="AD45" s="125">
        <f t="shared" ref="AD45:AD47" si="44">J45+O45+T45+Y45</f>
        <v>149</v>
      </c>
      <c r="AE45" s="125">
        <f t="shared" ref="AE45:AE47" si="45">K45+P45+U45+Z45</f>
        <v>0</v>
      </c>
    </row>
    <row r="46" spans="1:31" ht="44.25" customHeight="1">
      <c r="A46" s="287">
        <v>3</v>
      </c>
      <c r="B46" s="443" t="s">
        <v>665</v>
      </c>
      <c r="C46" s="444"/>
      <c r="D46" s="444"/>
      <c r="E46" s="444"/>
      <c r="F46" s="445"/>
      <c r="G46" s="124"/>
      <c r="H46" s="124"/>
      <c r="I46" s="124"/>
      <c r="J46" s="124"/>
      <c r="K46" s="124"/>
      <c r="L46" s="124"/>
      <c r="M46" s="124"/>
      <c r="N46" s="124"/>
      <c r="O46" s="124"/>
      <c r="P46" s="288"/>
      <c r="Q46" s="279"/>
      <c r="R46" s="125"/>
      <c r="S46" s="125"/>
      <c r="T46" s="125"/>
      <c r="U46" s="278"/>
      <c r="V46" s="128">
        <f t="shared" si="35"/>
        <v>826</v>
      </c>
      <c r="W46" s="125">
        <v>371</v>
      </c>
      <c r="X46" s="125">
        <v>49</v>
      </c>
      <c r="Y46" s="125">
        <v>5</v>
      </c>
      <c r="Z46" s="127">
        <v>401</v>
      </c>
      <c r="AA46" s="279">
        <f t="shared" si="41"/>
        <v>826</v>
      </c>
      <c r="AB46" s="125">
        <f t="shared" si="42"/>
        <v>371</v>
      </c>
      <c r="AC46" s="125">
        <f t="shared" si="43"/>
        <v>49</v>
      </c>
      <c r="AD46" s="125">
        <f t="shared" si="44"/>
        <v>5</v>
      </c>
      <c r="AE46" s="125">
        <f t="shared" si="45"/>
        <v>401</v>
      </c>
    </row>
    <row r="47" spans="1:31">
      <c r="A47" s="287">
        <v>4</v>
      </c>
      <c r="B47" s="443" t="s">
        <v>666</v>
      </c>
      <c r="C47" s="444"/>
      <c r="D47" s="444"/>
      <c r="E47" s="444"/>
      <c r="F47" s="445"/>
      <c r="G47" s="124"/>
      <c r="H47" s="124"/>
      <c r="I47" s="124"/>
      <c r="J47" s="124"/>
      <c r="K47" s="124"/>
      <c r="L47" s="124"/>
      <c r="M47" s="124"/>
      <c r="N47" s="124"/>
      <c r="O47" s="124"/>
      <c r="P47" s="288"/>
      <c r="Q47" s="279"/>
      <c r="R47" s="125"/>
      <c r="S47" s="125"/>
      <c r="T47" s="125"/>
      <c r="U47" s="278"/>
      <c r="V47" s="128">
        <f t="shared" si="35"/>
        <v>93</v>
      </c>
      <c r="W47" s="125"/>
      <c r="X47" s="125">
        <v>93</v>
      </c>
      <c r="Y47" s="125"/>
      <c r="Z47" s="127"/>
      <c r="AA47" s="279">
        <f t="shared" si="41"/>
        <v>93</v>
      </c>
      <c r="AB47" s="125">
        <f t="shared" si="42"/>
        <v>0</v>
      </c>
      <c r="AC47" s="125">
        <f t="shared" si="43"/>
        <v>93</v>
      </c>
      <c r="AD47" s="125">
        <f t="shared" si="44"/>
        <v>0</v>
      </c>
      <c r="AE47" s="125">
        <f t="shared" si="45"/>
        <v>0</v>
      </c>
    </row>
    <row r="48" spans="1:31" s="8" customFormat="1">
      <c r="A48" s="272" t="s">
        <v>448</v>
      </c>
      <c r="B48" s="437" t="s">
        <v>449</v>
      </c>
      <c r="C48" s="438"/>
      <c r="D48" s="438"/>
      <c r="E48" s="438"/>
      <c r="F48" s="439"/>
      <c r="G48" s="124"/>
      <c r="H48" s="132"/>
      <c r="I48" s="132"/>
      <c r="J48" s="132"/>
      <c r="K48" s="132"/>
      <c r="L48" s="124"/>
      <c r="M48" s="132"/>
      <c r="N48" s="132"/>
      <c r="O48" s="132"/>
      <c r="P48" s="273"/>
      <c r="Q48" s="92">
        <f>SUM(R48,S48,T48,U48)</f>
        <v>0</v>
      </c>
      <c r="R48" s="274">
        <f>SUM(R49:R51)</f>
        <v>0</v>
      </c>
      <c r="S48" s="274">
        <f>SUM(S49:S51)</f>
        <v>0</v>
      </c>
      <c r="T48" s="274">
        <f>SUM(T49:T51)</f>
        <v>0</v>
      </c>
      <c r="U48" s="275">
        <f>SUM(U49:U51)</f>
        <v>0</v>
      </c>
      <c r="V48" s="92">
        <f t="shared" si="35"/>
        <v>1331</v>
      </c>
      <c r="W48" s="82">
        <f>SUM(W49:W51)</f>
        <v>132</v>
      </c>
      <c r="X48" s="82">
        <f>SUM(X49:X51)</f>
        <v>0</v>
      </c>
      <c r="Y48" s="82">
        <f>SUM(Y49:Y51)</f>
        <v>475</v>
      </c>
      <c r="Z48" s="292">
        <f>SUM(Z49:Z51)</f>
        <v>724</v>
      </c>
      <c r="AA48" s="131">
        <f t="shared" si="36"/>
        <v>1331</v>
      </c>
      <c r="AB48" s="276">
        <f>SUM(AB49:AB51)</f>
        <v>132</v>
      </c>
      <c r="AC48" s="276">
        <f>SUM(AC49:AC51)</f>
        <v>0</v>
      </c>
      <c r="AD48" s="276">
        <f>SUM(AD49:AD51)</f>
        <v>475</v>
      </c>
      <c r="AE48" s="276">
        <f>SUM(AE49:AE51)</f>
        <v>724</v>
      </c>
    </row>
    <row r="49" spans="1:31" s="8" customFormat="1">
      <c r="A49" s="287">
        <v>1</v>
      </c>
      <c r="B49" s="440" t="s">
        <v>475</v>
      </c>
      <c r="C49" s="441"/>
      <c r="D49" s="441"/>
      <c r="E49" s="441"/>
      <c r="F49" s="442"/>
      <c r="G49" s="124"/>
      <c r="H49" s="124"/>
      <c r="I49" s="124"/>
      <c r="J49" s="124"/>
      <c r="K49" s="124"/>
      <c r="L49" s="124"/>
      <c r="M49" s="124"/>
      <c r="N49" s="124"/>
      <c r="O49" s="124"/>
      <c r="P49" s="288"/>
      <c r="Q49" s="279">
        <f>R49+S49+T49+U49</f>
        <v>0</v>
      </c>
      <c r="R49" s="125"/>
      <c r="S49" s="125"/>
      <c r="T49" s="125"/>
      <c r="U49" s="288"/>
      <c r="V49" s="128">
        <f t="shared" si="35"/>
        <v>406</v>
      </c>
      <c r="W49" s="125">
        <v>55</v>
      </c>
      <c r="X49" s="125"/>
      <c r="Y49" s="125">
        <v>351</v>
      </c>
      <c r="Z49" s="127"/>
      <c r="AA49" s="279">
        <f>SUM(AB49:AE49)</f>
        <v>406</v>
      </c>
      <c r="AB49" s="125">
        <f t="shared" ref="AB49:AE50" si="46">SUM(H49,M49,R49,W49)</f>
        <v>55</v>
      </c>
      <c r="AC49" s="125">
        <f t="shared" si="46"/>
        <v>0</v>
      </c>
      <c r="AD49" s="125">
        <f t="shared" si="46"/>
        <v>351</v>
      </c>
      <c r="AE49" s="125">
        <f t="shared" si="46"/>
        <v>0</v>
      </c>
    </row>
    <row r="50" spans="1:31" s="8" customFormat="1">
      <c r="A50" s="287">
        <v>2</v>
      </c>
      <c r="B50" s="440" t="s">
        <v>667</v>
      </c>
      <c r="C50" s="441"/>
      <c r="D50" s="441"/>
      <c r="E50" s="441"/>
      <c r="F50" s="442"/>
      <c r="G50" s="124"/>
      <c r="H50" s="124"/>
      <c r="I50" s="124"/>
      <c r="J50" s="124"/>
      <c r="K50" s="124"/>
      <c r="L50" s="124"/>
      <c r="M50" s="124"/>
      <c r="N50" s="124"/>
      <c r="O50" s="124"/>
      <c r="P50" s="288"/>
      <c r="Q50" s="279"/>
      <c r="R50" s="125"/>
      <c r="S50" s="125"/>
      <c r="T50" s="125"/>
      <c r="U50" s="288"/>
      <c r="V50" s="128">
        <f t="shared" si="35"/>
        <v>420</v>
      </c>
      <c r="W50" s="125">
        <v>30</v>
      </c>
      <c r="X50" s="125"/>
      <c r="Y50" s="125"/>
      <c r="Z50" s="127">
        <v>390</v>
      </c>
      <c r="AA50" s="279">
        <f>SUM(AB50:AE50)</f>
        <v>420</v>
      </c>
      <c r="AB50" s="125">
        <f t="shared" si="46"/>
        <v>30</v>
      </c>
      <c r="AC50" s="125">
        <f t="shared" si="46"/>
        <v>0</v>
      </c>
      <c r="AD50" s="125">
        <f t="shared" si="46"/>
        <v>0</v>
      </c>
      <c r="AE50" s="125">
        <f t="shared" si="46"/>
        <v>390</v>
      </c>
    </row>
    <row r="51" spans="1:31" s="8" customFormat="1">
      <c r="A51" s="287">
        <v>3</v>
      </c>
      <c r="B51" s="458" t="s">
        <v>530</v>
      </c>
      <c r="C51" s="459"/>
      <c r="D51" s="459"/>
      <c r="E51" s="459"/>
      <c r="F51" s="460"/>
      <c r="G51" s="124"/>
      <c r="H51" s="124"/>
      <c r="I51" s="124"/>
      <c r="J51" s="124"/>
      <c r="K51" s="124"/>
      <c r="L51" s="124"/>
      <c r="M51" s="124"/>
      <c r="N51" s="124"/>
      <c r="O51" s="124"/>
      <c r="P51" s="288"/>
      <c r="Q51" s="279"/>
      <c r="R51" s="125"/>
      <c r="S51" s="125"/>
      <c r="T51" s="125"/>
      <c r="U51" s="288"/>
      <c r="V51" s="128">
        <f t="shared" si="35"/>
        <v>505</v>
      </c>
      <c r="W51" s="125">
        <v>47</v>
      </c>
      <c r="X51" s="125"/>
      <c r="Y51" s="125">
        <v>124</v>
      </c>
      <c r="Z51" s="127">
        <v>334</v>
      </c>
      <c r="AA51" s="279">
        <f>SUM(AB51:AE51)</f>
        <v>505</v>
      </c>
      <c r="AB51" s="125">
        <f t="shared" ref="AB51:AE51" si="47">SUM(H51,M51,R51,W51)</f>
        <v>47</v>
      </c>
      <c r="AC51" s="125">
        <f t="shared" si="47"/>
        <v>0</v>
      </c>
      <c r="AD51" s="125">
        <f t="shared" si="47"/>
        <v>124</v>
      </c>
      <c r="AE51" s="125">
        <f t="shared" si="47"/>
        <v>334</v>
      </c>
    </row>
    <row r="52" spans="1:31" s="8" customFormat="1" ht="40.5" customHeight="1">
      <c r="A52" s="272" t="s">
        <v>451</v>
      </c>
      <c r="B52" s="461" t="s">
        <v>452</v>
      </c>
      <c r="C52" s="462"/>
      <c r="D52" s="462"/>
      <c r="E52" s="462"/>
      <c r="F52" s="463"/>
      <c r="G52" s="124"/>
      <c r="H52" s="132"/>
      <c r="I52" s="132"/>
      <c r="J52" s="132"/>
      <c r="K52" s="132"/>
      <c r="L52" s="124"/>
      <c r="M52" s="132"/>
      <c r="N52" s="132"/>
      <c r="O52" s="132"/>
      <c r="P52" s="273"/>
      <c r="Q52" s="92">
        <f>SUM(R52:U52)</f>
        <v>0</v>
      </c>
      <c r="R52" s="82">
        <f t="shared" ref="R52:U52" si="48">SUM(R53:R53)</f>
        <v>0</v>
      </c>
      <c r="S52" s="82">
        <f t="shared" si="48"/>
        <v>0</v>
      </c>
      <c r="T52" s="82">
        <f t="shared" si="48"/>
        <v>0</v>
      </c>
      <c r="U52" s="82">
        <f t="shared" si="48"/>
        <v>0</v>
      </c>
      <c r="V52" s="92">
        <f>SUM(W52:Z52)</f>
        <v>9660</v>
      </c>
      <c r="W52" s="82">
        <f>SUM(W53:W56)</f>
        <v>0</v>
      </c>
      <c r="X52" s="82">
        <f t="shared" ref="X52:Z52" si="49">SUM(X53:X56)</f>
        <v>100</v>
      </c>
      <c r="Y52" s="82">
        <f t="shared" si="49"/>
        <v>4390</v>
      </c>
      <c r="Z52" s="82">
        <f t="shared" si="49"/>
        <v>5170</v>
      </c>
      <c r="AA52" s="131">
        <f t="shared" si="36"/>
        <v>9660</v>
      </c>
      <c r="AB52" s="276">
        <f>SUM(AB53:AB56)</f>
        <v>0</v>
      </c>
      <c r="AC52" s="276">
        <f t="shared" ref="AC52" si="50">SUM(AC53:AC56)</f>
        <v>100</v>
      </c>
      <c r="AD52" s="276">
        <f t="shared" ref="AD52" si="51">SUM(AD53:AD56)</f>
        <v>4390</v>
      </c>
      <c r="AE52" s="276">
        <f t="shared" ref="AE52" si="52">SUM(AE53:AE56)</f>
        <v>5170</v>
      </c>
    </row>
    <row r="53" spans="1:31" s="8" customFormat="1" ht="57.75" customHeight="1">
      <c r="A53" s="287">
        <v>1</v>
      </c>
      <c r="B53" s="464" t="s">
        <v>689</v>
      </c>
      <c r="C53" s="465"/>
      <c r="D53" s="465"/>
      <c r="E53" s="465"/>
      <c r="F53" s="466"/>
      <c r="G53" s="124"/>
      <c r="H53" s="124"/>
      <c r="I53" s="124"/>
      <c r="J53" s="124"/>
      <c r="K53" s="124"/>
      <c r="L53" s="124"/>
      <c r="M53" s="124"/>
      <c r="N53" s="124"/>
      <c r="O53" s="124"/>
      <c r="P53" s="288"/>
      <c r="Q53" s="279"/>
      <c r="R53" s="125"/>
      <c r="S53" s="125"/>
      <c r="T53" s="125"/>
      <c r="U53" s="278"/>
      <c r="V53" s="128">
        <f t="shared" si="35"/>
        <v>8780</v>
      </c>
      <c r="W53" s="125"/>
      <c r="X53" s="125"/>
      <c r="Y53" s="125">
        <v>4390</v>
      </c>
      <c r="Z53" s="127">
        <v>4390</v>
      </c>
      <c r="AA53" s="279">
        <f>SUM(AB53,AC53,AD53,AE53)</f>
        <v>8780</v>
      </c>
      <c r="AB53" s="125">
        <f>W53</f>
        <v>0</v>
      </c>
      <c r="AC53" s="125">
        <f>X53</f>
        <v>0</v>
      </c>
      <c r="AD53" s="125">
        <f>Y53</f>
        <v>4390</v>
      </c>
      <c r="AE53" s="125">
        <f>Z53</f>
        <v>4390</v>
      </c>
    </row>
    <row r="54" spans="1:31" s="8" customFormat="1" ht="60.75" customHeight="1">
      <c r="A54" s="287">
        <v>2</v>
      </c>
      <c r="B54" s="449" t="s">
        <v>705</v>
      </c>
      <c r="C54" s="450"/>
      <c r="D54" s="450"/>
      <c r="E54" s="450"/>
      <c r="F54" s="451"/>
      <c r="G54" s="293"/>
      <c r="H54" s="293"/>
      <c r="I54" s="293"/>
      <c r="J54" s="293"/>
      <c r="K54" s="293"/>
      <c r="L54" s="293"/>
      <c r="M54" s="293"/>
      <c r="N54" s="293"/>
      <c r="O54" s="293"/>
      <c r="P54" s="294"/>
      <c r="Q54" s="279"/>
      <c r="R54" s="125"/>
      <c r="S54" s="125"/>
      <c r="T54" s="125"/>
      <c r="U54" s="278"/>
      <c r="V54" s="128">
        <f t="shared" ref="V54:V55" si="53">SUM(W54:Z54)</f>
        <v>80</v>
      </c>
      <c r="W54" s="125"/>
      <c r="X54" s="125"/>
      <c r="Y54" s="125"/>
      <c r="Z54" s="127">
        <v>80</v>
      </c>
      <c r="AA54" s="279">
        <f t="shared" ref="AA54" si="54">SUM(AB54,AC54,AD54,AE54)</f>
        <v>80</v>
      </c>
      <c r="AB54" s="125">
        <f t="shared" ref="AB54" si="55">W54</f>
        <v>0</v>
      </c>
      <c r="AC54" s="125">
        <f t="shared" ref="AC54" si="56">X54</f>
        <v>0</v>
      </c>
      <c r="AD54" s="125">
        <f t="shared" ref="AD54" si="57">Y54</f>
        <v>0</v>
      </c>
      <c r="AE54" s="125">
        <f t="shared" ref="AE54" si="58">Z54</f>
        <v>80</v>
      </c>
    </row>
    <row r="55" spans="1:31" s="8" customFormat="1" ht="42" customHeight="1">
      <c r="A55" s="287">
        <v>4</v>
      </c>
      <c r="B55" s="449" t="s">
        <v>706</v>
      </c>
      <c r="C55" s="450"/>
      <c r="D55" s="450"/>
      <c r="E55" s="450"/>
      <c r="F55" s="451"/>
      <c r="G55" s="293"/>
      <c r="H55" s="293"/>
      <c r="I55" s="293"/>
      <c r="J55" s="293"/>
      <c r="K55" s="293"/>
      <c r="L55" s="293"/>
      <c r="M55" s="293"/>
      <c r="N55" s="293"/>
      <c r="O55" s="293"/>
      <c r="P55" s="294"/>
      <c r="Q55" s="279"/>
      <c r="R55" s="125"/>
      <c r="S55" s="125"/>
      <c r="T55" s="125"/>
      <c r="U55" s="278"/>
      <c r="V55" s="128">
        <f t="shared" si="53"/>
        <v>700</v>
      </c>
      <c r="W55" s="125"/>
      <c r="X55" s="125"/>
      <c r="Y55" s="125"/>
      <c r="Z55" s="127">
        <v>700</v>
      </c>
      <c r="AA55" s="279">
        <f t="shared" ref="AA55" si="59">SUM(AB55,AC55,AD55,AE55)</f>
        <v>700</v>
      </c>
      <c r="AB55" s="125">
        <f t="shared" ref="AB55" si="60">W55</f>
        <v>0</v>
      </c>
      <c r="AC55" s="125">
        <f t="shared" ref="AC55" si="61">X55</f>
        <v>0</v>
      </c>
      <c r="AD55" s="125">
        <f t="shared" ref="AD55" si="62">Y55</f>
        <v>0</v>
      </c>
      <c r="AE55" s="125">
        <f t="shared" ref="AE55" si="63">Z55</f>
        <v>700</v>
      </c>
    </row>
    <row r="56" spans="1:31" s="8" customFormat="1">
      <c r="A56" s="287">
        <v>5</v>
      </c>
      <c r="B56" s="440" t="s">
        <v>842</v>
      </c>
      <c r="C56" s="441"/>
      <c r="D56" s="441"/>
      <c r="E56" s="441"/>
      <c r="F56" s="442"/>
      <c r="G56" s="124"/>
      <c r="H56" s="124"/>
      <c r="I56" s="124"/>
      <c r="J56" s="124"/>
      <c r="K56" s="124"/>
      <c r="L56" s="124"/>
      <c r="M56" s="124"/>
      <c r="N56" s="124"/>
      <c r="O56" s="124"/>
      <c r="P56" s="288"/>
      <c r="Q56" s="279"/>
      <c r="R56" s="125"/>
      <c r="S56" s="125"/>
      <c r="T56" s="125"/>
      <c r="U56" s="288"/>
      <c r="V56" s="128">
        <f>SUM(W56:Z56)</f>
        <v>100</v>
      </c>
      <c r="W56" s="125"/>
      <c r="X56" s="125">
        <v>100</v>
      </c>
      <c r="Y56" s="125"/>
      <c r="Z56" s="127"/>
      <c r="AA56" s="279">
        <f>SUM(AB56:AE56)</f>
        <v>100</v>
      </c>
      <c r="AB56" s="125">
        <f>SUM(H56,M56,R56,W56)</f>
        <v>0</v>
      </c>
      <c r="AC56" s="125">
        <f>SUM(I56,N56,S56,X56)</f>
        <v>100</v>
      </c>
      <c r="AD56" s="125">
        <f>SUM(J56,O56,T56,Y56)</f>
        <v>0</v>
      </c>
      <c r="AE56" s="125">
        <f>SUM(K56,P56,U56,Z56)</f>
        <v>0</v>
      </c>
    </row>
    <row r="57" spans="1:31" s="8" customFormat="1">
      <c r="A57" s="272" t="s">
        <v>448</v>
      </c>
      <c r="B57" s="437" t="s">
        <v>704</v>
      </c>
      <c r="C57" s="438"/>
      <c r="D57" s="438"/>
      <c r="E57" s="438"/>
      <c r="F57" s="439"/>
      <c r="G57" s="124"/>
      <c r="H57" s="132"/>
      <c r="I57" s="132"/>
      <c r="J57" s="132"/>
      <c r="K57" s="132"/>
      <c r="L57" s="124"/>
      <c r="M57" s="132"/>
      <c r="N57" s="132"/>
      <c r="O57" s="132"/>
      <c r="P57" s="273"/>
      <c r="Q57" s="92">
        <f>SUM(R57,S57,T57,U57)</f>
        <v>0</v>
      </c>
      <c r="R57" s="274">
        <f>SUM(R58:R59)</f>
        <v>0</v>
      </c>
      <c r="S57" s="274">
        <f>SUM(S58:S59)</f>
        <v>0</v>
      </c>
      <c r="T57" s="274">
        <f>SUM(T58:T59)</f>
        <v>0</v>
      </c>
      <c r="U57" s="275">
        <f>SUM(U58:U59)</f>
        <v>0</v>
      </c>
      <c r="V57" s="92">
        <f t="shared" ref="V57:V59" si="64">SUM(W57:Z57)</f>
        <v>5000</v>
      </c>
      <c r="W57" s="82">
        <f>SUM(W58:W59)</f>
        <v>0</v>
      </c>
      <c r="X57" s="82">
        <f>SUM(X58:X59)</f>
        <v>0</v>
      </c>
      <c r="Y57" s="82">
        <f>SUM(Y58:Y59)</f>
        <v>5000</v>
      </c>
      <c r="Z57" s="292">
        <f>SUM(Z58:Z59)</f>
        <v>0</v>
      </c>
      <c r="AA57" s="131">
        <f t="shared" ref="AA57" si="65">SUM(AB57,AC57,AD57,AE57)</f>
        <v>5000</v>
      </c>
      <c r="AB57" s="276">
        <f>SUM(AB58:AB59)</f>
        <v>0</v>
      </c>
      <c r="AC57" s="276">
        <f>SUM(AC58:AC59)</f>
        <v>0</v>
      </c>
      <c r="AD57" s="276">
        <f>SUM(AD58:AD59)</f>
        <v>5000</v>
      </c>
      <c r="AE57" s="276">
        <f>SUM(AE58:AE59)</f>
        <v>0</v>
      </c>
    </row>
    <row r="58" spans="1:31" s="8" customFormat="1">
      <c r="A58" s="287">
        <v>1</v>
      </c>
      <c r="B58" s="440" t="s">
        <v>701</v>
      </c>
      <c r="C58" s="441"/>
      <c r="D58" s="441"/>
      <c r="E58" s="441"/>
      <c r="F58" s="442"/>
      <c r="G58" s="124"/>
      <c r="H58" s="124"/>
      <c r="I58" s="124"/>
      <c r="J58" s="124"/>
      <c r="K58" s="124"/>
      <c r="L58" s="124"/>
      <c r="M58" s="124"/>
      <c r="N58" s="124"/>
      <c r="O58" s="124"/>
      <c r="P58" s="288"/>
      <c r="Q58" s="279">
        <f>R58+S58+T58+U58</f>
        <v>0</v>
      </c>
      <c r="R58" s="125"/>
      <c r="S58" s="125"/>
      <c r="T58" s="125"/>
      <c r="U58" s="288"/>
      <c r="V58" s="128">
        <f t="shared" si="64"/>
        <v>5000</v>
      </c>
      <c r="W58" s="125"/>
      <c r="X58" s="125"/>
      <c r="Y58" s="125">
        <v>5000</v>
      </c>
      <c r="Z58" s="127"/>
      <c r="AA58" s="279">
        <f>SUM(AB58:AE58)</f>
        <v>5000</v>
      </c>
      <c r="AB58" s="125">
        <f t="shared" ref="AB58:AB59" si="66">SUM(H58,M58,R58,W58)</f>
        <v>0</v>
      </c>
      <c r="AC58" s="125">
        <f t="shared" ref="AC58:AC59" si="67">SUM(I58,N58,S58,X58)</f>
        <v>0</v>
      </c>
      <c r="AD58" s="125">
        <f t="shared" ref="AD58:AD59" si="68">SUM(J58,O58,T58,Y58)</f>
        <v>5000</v>
      </c>
      <c r="AE58" s="125">
        <f t="shared" ref="AE58:AE59" si="69">SUM(K58,P58,U58,Z58)</f>
        <v>0</v>
      </c>
    </row>
    <row r="59" spans="1:31" s="8" customFormat="1" hidden="1" outlineLevel="1">
      <c r="A59" s="287">
        <v>2</v>
      </c>
      <c r="B59" s="458"/>
      <c r="C59" s="459"/>
      <c r="D59" s="459"/>
      <c r="E59" s="459"/>
      <c r="F59" s="460"/>
      <c r="G59" s="124"/>
      <c r="H59" s="124"/>
      <c r="I59" s="124"/>
      <c r="J59" s="124"/>
      <c r="K59" s="124"/>
      <c r="L59" s="124"/>
      <c r="M59" s="124"/>
      <c r="N59" s="124"/>
      <c r="O59" s="124"/>
      <c r="P59" s="288"/>
      <c r="Q59" s="279"/>
      <c r="R59" s="125"/>
      <c r="S59" s="125"/>
      <c r="T59" s="125"/>
      <c r="U59" s="288"/>
      <c r="V59" s="128">
        <f t="shared" si="64"/>
        <v>0</v>
      </c>
      <c r="W59" s="125"/>
      <c r="X59" s="125"/>
      <c r="Y59" s="125"/>
      <c r="Z59" s="127"/>
      <c r="AA59" s="279">
        <f>SUM(AB59:AE59)</f>
        <v>0</v>
      </c>
      <c r="AB59" s="125">
        <f t="shared" si="66"/>
        <v>0</v>
      </c>
      <c r="AC59" s="125">
        <f t="shared" si="67"/>
        <v>0</v>
      </c>
      <c r="AD59" s="125">
        <f t="shared" si="68"/>
        <v>0</v>
      </c>
      <c r="AE59" s="125">
        <f t="shared" si="69"/>
        <v>0</v>
      </c>
    </row>
    <row r="60" spans="1:31" s="8" customFormat="1" ht="42" customHeight="1" collapsed="1" thickBot="1">
      <c r="A60" s="452" t="s">
        <v>491</v>
      </c>
      <c r="B60" s="453"/>
      <c r="C60" s="453"/>
      <c r="D60" s="453"/>
      <c r="E60" s="453"/>
      <c r="F60" s="454"/>
      <c r="G60" s="295">
        <f t="shared" ref="G60:P60" si="70">SUM(G29+G34+G43+G48+G52)</f>
        <v>0</v>
      </c>
      <c r="H60" s="295">
        <f t="shared" si="70"/>
        <v>0</v>
      </c>
      <c r="I60" s="295">
        <f t="shared" si="70"/>
        <v>0</v>
      </c>
      <c r="J60" s="295">
        <f t="shared" si="70"/>
        <v>0</v>
      </c>
      <c r="K60" s="295">
        <f t="shared" si="70"/>
        <v>0</v>
      </c>
      <c r="L60" s="295">
        <f t="shared" si="70"/>
        <v>0</v>
      </c>
      <c r="M60" s="295">
        <f t="shared" si="70"/>
        <v>0</v>
      </c>
      <c r="N60" s="295">
        <f t="shared" si="70"/>
        <v>0</v>
      </c>
      <c r="O60" s="295">
        <f t="shared" si="70"/>
        <v>0</v>
      </c>
      <c r="P60" s="296">
        <f t="shared" si="70"/>
        <v>0</v>
      </c>
      <c r="Q60" s="92">
        <f>SUM(Q52+Q48+Q43+Q34+Q29)</f>
        <v>0</v>
      </c>
      <c r="R60" s="124">
        <f>SUM(R29+R34+R43+R48+R52)</f>
        <v>0</v>
      </c>
      <c r="S60" s="124">
        <f>SUM(S29+S48+S34+S43+S52)</f>
        <v>0</v>
      </c>
      <c r="T60" s="124">
        <f>SUM(T29+T34+T43+T48+T52)</f>
        <v>0</v>
      </c>
      <c r="U60" s="288">
        <f>SUM(U29+U34+U43+U48+U52)</f>
        <v>0</v>
      </c>
      <c r="V60" s="131">
        <f t="shared" ref="V60:AE60" si="71">SUM(V29+V34+V43+V48+V52+V57)</f>
        <v>42050</v>
      </c>
      <c r="W60" s="124">
        <f t="shared" si="71"/>
        <v>549</v>
      </c>
      <c r="X60" s="124">
        <f t="shared" si="71"/>
        <v>856</v>
      </c>
      <c r="Y60" s="124">
        <f t="shared" si="71"/>
        <v>12898</v>
      </c>
      <c r="Z60" s="130">
        <f t="shared" si="71"/>
        <v>27747</v>
      </c>
      <c r="AA60" s="92">
        <f t="shared" si="71"/>
        <v>42050</v>
      </c>
      <c r="AB60" s="124">
        <f t="shared" si="71"/>
        <v>549</v>
      </c>
      <c r="AC60" s="124">
        <f t="shared" si="71"/>
        <v>856</v>
      </c>
      <c r="AD60" s="124">
        <f t="shared" si="71"/>
        <v>12898</v>
      </c>
      <c r="AE60" s="288">
        <f t="shared" si="71"/>
        <v>27747</v>
      </c>
    </row>
    <row r="61" spans="1:31" s="8" customFormat="1" ht="27" hidden="1" customHeight="1" thickBot="1">
      <c r="A61" s="467" t="s">
        <v>55</v>
      </c>
      <c r="B61" s="323"/>
      <c r="C61" s="323"/>
      <c r="D61" s="323"/>
      <c r="E61" s="323"/>
      <c r="F61" s="468"/>
      <c r="G61" s="297">
        <f>G60/AA60*100</f>
        <v>0</v>
      </c>
      <c r="H61" s="297"/>
      <c r="I61" s="297"/>
      <c r="J61" s="297"/>
      <c r="K61" s="297"/>
      <c r="L61" s="297">
        <f>L60/AA60*100</f>
        <v>0</v>
      </c>
      <c r="M61" s="297"/>
      <c r="N61" s="297"/>
      <c r="O61" s="297"/>
      <c r="P61" s="298"/>
      <c r="Q61" s="299">
        <f>Q60/AA60*100</f>
        <v>0</v>
      </c>
      <c r="R61" s="300"/>
      <c r="S61" s="300"/>
      <c r="T61" s="300"/>
      <c r="U61" s="301"/>
      <c r="V61" s="302">
        <f>V60/AA60*100</f>
        <v>100</v>
      </c>
      <c r="W61" s="129"/>
      <c r="X61" s="129"/>
      <c r="Y61" s="129"/>
      <c r="Z61" s="121"/>
      <c r="AA61" s="299">
        <f>SUM(G61,L61,Q61,V61)</f>
        <v>100</v>
      </c>
      <c r="AB61" s="303"/>
      <c r="AC61" s="303"/>
      <c r="AD61" s="303"/>
      <c r="AE61" s="304"/>
    </row>
    <row r="62" spans="1:31" s="8" customFormat="1" ht="19.5" customHeight="1">
      <c r="A62" s="29"/>
      <c r="B62" s="28"/>
      <c r="C62" s="305"/>
      <c r="D62" s="305"/>
      <c r="E62" s="305"/>
      <c r="F62" s="305"/>
      <c r="G62" s="306"/>
      <c r="H62" s="306"/>
      <c r="I62" s="306"/>
      <c r="J62" s="306"/>
      <c r="K62" s="306"/>
      <c r="L62" s="306"/>
      <c r="M62" s="306"/>
      <c r="N62" s="306"/>
      <c r="O62" s="306"/>
      <c r="P62" s="306"/>
      <c r="Q62" s="306"/>
      <c r="R62" s="306"/>
      <c r="S62" s="29"/>
      <c r="T62" s="29"/>
      <c r="U62" s="29"/>
      <c r="V62" s="29"/>
      <c r="W62" s="306"/>
      <c r="X62" s="307"/>
      <c r="Y62" s="307"/>
      <c r="Z62" s="307"/>
      <c r="AA62" s="29"/>
      <c r="AB62" s="81"/>
      <c r="AC62" s="81"/>
      <c r="AD62" s="81"/>
      <c r="AE62" s="81"/>
    </row>
    <row r="63" spans="1:31" s="8" customFormat="1" ht="19.5" customHeight="1">
      <c r="A63" s="89"/>
      <c r="B63" s="4"/>
      <c r="C63" s="308"/>
      <c r="D63" s="308"/>
      <c r="E63" s="308"/>
      <c r="F63" s="308"/>
      <c r="G63" s="244"/>
      <c r="H63" s="244"/>
      <c r="I63" s="244"/>
      <c r="J63" s="244"/>
      <c r="K63" s="244"/>
      <c r="L63" s="244"/>
      <c r="M63" s="244"/>
      <c r="N63" s="244"/>
      <c r="O63" s="244"/>
      <c r="P63" s="244"/>
      <c r="Q63" s="244"/>
      <c r="R63" s="244"/>
      <c r="S63" s="244"/>
      <c r="T63" s="244"/>
      <c r="U63" s="244"/>
      <c r="V63" s="81"/>
      <c r="W63" s="81"/>
      <c r="X63" s="81"/>
      <c r="Y63" s="81"/>
      <c r="Z63" s="81"/>
      <c r="AA63" s="81"/>
      <c r="AB63" s="81"/>
      <c r="AC63" s="81"/>
      <c r="AD63" s="81"/>
      <c r="AE63" s="81"/>
    </row>
    <row r="64" spans="1:31" ht="21" customHeight="1">
      <c r="A64" s="17"/>
      <c r="B64" s="4" t="s">
        <v>197</v>
      </c>
      <c r="C64" s="4"/>
      <c r="D64" s="4"/>
      <c r="E64" s="4"/>
      <c r="F64" s="4"/>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row>
    <row r="65" spans="1:31" s="8" customFormat="1" ht="41.45" customHeight="1">
      <c r="A65" s="81"/>
      <c r="B65" s="81"/>
      <c r="C65" s="81"/>
      <c r="D65" s="81"/>
      <c r="E65" s="81"/>
      <c r="F65" s="81"/>
      <c r="G65" s="81"/>
      <c r="H65" s="81"/>
      <c r="I65" s="81"/>
      <c r="J65" s="309"/>
      <c r="K65" s="81"/>
      <c r="L65" s="309"/>
      <c r="M65" s="309"/>
      <c r="N65" s="309"/>
      <c r="O65" s="309"/>
      <c r="P65" s="309"/>
      <c r="Q65" s="309"/>
      <c r="R65" s="309"/>
      <c r="S65" s="309"/>
      <c r="T65" s="309"/>
      <c r="U65" s="309"/>
      <c r="V65" s="309"/>
      <c r="W65" s="309"/>
      <c r="X65" s="309"/>
      <c r="Y65" s="309"/>
      <c r="Z65" s="309"/>
      <c r="AA65" s="309"/>
      <c r="AB65" s="309"/>
      <c r="AC65" s="309"/>
      <c r="AD65" s="309"/>
      <c r="AE65" s="271" t="s">
        <v>403</v>
      </c>
    </row>
    <row r="66" spans="1:31" ht="24" customHeight="1">
      <c r="A66" s="552" t="s">
        <v>51</v>
      </c>
      <c r="B66" s="341" t="s">
        <v>221</v>
      </c>
      <c r="C66" s="469" t="s">
        <v>234</v>
      </c>
      <c r="D66" s="470"/>
      <c r="E66" s="469" t="s">
        <v>177</v>
      </c>
      <c r="F66" s="470"/>
      <c r="G66" s="469" t="s">
        <v>178</v>
      </c>
      <c r="H66" s="470"/>
      <c r="I66" s="469" t="s">
        <v>217</v>
      </c>
      <c r="J66" s="470"/>
      <c r="K66" s="354" t="s">
        <v>599</v>
      </c>
      <c r="L66" s="355"/>
      <c r="M66" s="355"/>
      <c r="N66" s="355"/>
      <c r="O66" s="355"/>
      <c r="P66" s="355"/>
      <c r="Q66" s="355"/>
      <c r="R66" s="355"/>
      <c r="S66" s="355"/>
      <c r="T66" s="356"/>
      <c r="U66" s="469" t="s">
        <v>235</v>
      </c>
      <c r="V66" s="482"/>
      <c r="W66" s="482"/>
      <c r="X66" s="482"/>
      <c r="Y66" s="470"/>
      <c r="Z66" s="469" t="s">
        <v>341</v>
      </c>
      <c r="AA66" s="482"/>
      <c r="AB66" s="482"/>
      <c r="AC66" s="482"/>
      <c r="AD66" s="482"/>
      <c r="AE66" s="470"/>
    </row>
    <row r="67" spans="1:31" ht="42" customHeight="1">
      <c r="A67" s="553"/>
      <c r="B67" s="475"/>
      <c r="C67" s="471"/>
      <c r="D67" s="472"/>
      <c r="E67" s="471"/>
      <c r="F67" s="472"/>
      <c r="G67" s="471"/>
      <c r="H67" s="472"/>
      <c r="I67" s="471"/>
      <c r="J67" s="472"/>
      <c r="K67" s="469" t="s">
        <v>245</v>
      </c>
      <c r="L67" s="470"/>
      <c r="M67" s="469" t="s">
        <v>246</v>
      </c>
      <c r="N67" s="470"/>
      <c r="O67" s="354" t="s">
        <v>233</v>
      </c>
      <c r="P67" s="355"/>
      <c r="Q67" s="355"/>
      <c r="R67" s="355"/>
      <c r="S67" s="355"/>
      <c r="T67" s="356"/>
      <c r="U67" s="471"/>
      <c r="V67" s="483"/>
      <c r="W67" s="483"/>
      <c r="X67" s="483"/>
      <c r="Y67" s="472"/>
      <c r="Z67" s="471"/>
      <c r="AA67" s="483"/>
      <c r="AB67" s="483"/>
      <c r="AC67" s="483"/>
      <c r="AD67" s="483"/>
      <c r="AE67" s="472"/>
    </row>
    <row r="68" spans="1:31" ht="132" customHeight="1">
      <c r="A68" s="554"/>
      <c r="B68" s="342"/>
      <c r="C68" s="473"/>
      <c r="D68" s="474"/>
      <c r="E68" s="473"/>
      <c r="F68" s="474"/>
      <c r="G68" s="473"/>
      <c r="H68" s="474"/>
      <c r="I68" s="473"/>
      <c r="J68" s="474"/>
      <c r="K68" s="473"/>
      <c r="L68" s="474"/>
      <c r="M68" s="473"/>
      <c r="N68" s="474"/>
      <c r="O68" s="354" t="s">
        <v>218</v>
      </c>
      <c r="P68" s="356"/>
      <c r="Q68" s="354" t="s">
        <v>219</v>
      </c>
      <c r="R68" s="356"/>
      <c r="S68" s="354" t="s">
        <v>707</v>
      </c>
      <c r="T68" s="356"/>
      <c r="U68" s="473"/>
      <c r="V68" s="484"/>
      <c r="W68" s="484"/>
      <c r="X68" s="484"/>
      <c r="Y68" s="474"/>
      <c r="Z68" s="473"/>
      <c r="AA68" s="484"/>
      <c r="AB68" s="484"/>
      <c r="AC68" s="484"/>
      <c r="AD68" s="484"/>
      <c r="AE68" s="474"/>
    </row>
    <row r="69" spans="1:31" s="116" customFormat="1" ht="35.25" customHeight="1">
      <c r="A69" s="126">
        <v>1</v>
      </c>
      <c r="B69" s="129">
        <v>2</v>
      </c>
      <c r="C69" s="354">
        <v>3</v>
      </c>
      <c r="D69" s="356"/>
      <c r="E69" s="354">
        <v>4</v>
      </c>
      <c r="F69" s="356"/>
      <c r="G69" s="354">
        <v>5</v>
      </c>
      <c r="H69" s="356"/>
      <c r="I69" s="354">
        <v>6</v>
      </c>
      <c r="J69" s="356"/>
      <c r="K69" s="354">
        <v>7</v>
      </c>
      <c r="L69" s="356"/>
      <c r="M69" s="354">
        <v>8</v>
      </c>
      <c r="N69" s="356"/>
      <c r="O69" s="354">
        <v>9</v>
      </c>
      <c r="P69" s="356"/>
      <c r="Q69" s="401">
        <v>10</v>
      </c>
      <c r="R69" s="410"/>
      <c r="S69" s="354">
        <v>11</v>
      </c>
      <c r="T69" s="356"/>
      <c r="U69" s="354">
        <v>12</v>
      </c>
      <c r="V69" s="355"/>
      <c r="W69" s="355"/>
      <c r="X69" s="355"/>
      <c r="Y69" s="356"/>
      <c r="Z69" s="354">
        <v>13</v>
      </c>
      <c r="AA69" s="355"/>
      <c r="AB69" s="355"/>
      <c r="AC69" s="355"/>
      <c r="AD69" s="355"/>
      <c r="AE69" s="356"/>
    </row>
    <row r="70" spans="1:31" s="116" customFormat="1" ht="192" customHeight="1">
      <c r="A70" s="126">
        <v>1</v>
      </c>
      <c r="B70" s="310" t="s">
        <v>672</v>
      </c>
      <c r="C70" s="354" t="s">
        <v>712</v>
      </c>
      <c r="D70" s="356"/>
      <c r="E70" s="478">
        <v>44215</v>
      </c>
      <c r="F70" s="479"/>
      <c r="G70" s="121"/>
      <c r="H70" s="123"/>
      <c r="I70" s="427">
        <v>28</v>
      </c>
      <c r="J70" s="428"/>
      <c r="K70" s="427">
        <v>1587</v>
      </c>
      <c r="L70" s="428"/>
      <c r="M70" s="427">
        <f>SUM(O70:T70)</f>
        <v>1587</v>
      </c>
      <c r="N70" s="428"/>
      <c r="O70" s="427"/>
      <c r="P70" s="428"/>
      <c r="Q70" s="134"/>
      <c r="R70" s="135"/>
      <c r="S70" s="354">
        <f>-'ІІІ. Рух грош. коштів'!F111</f>
        <v>1587</v>
      </c>
      <c r="T70" s="356"/>
      <c r="U70" s="431" t="s">
        <v>686</v>
      </c>
      <c r="V70" s="432"/>
      <c r="W70" s="432"/>
      <c r="X70" s="432"/>
      <c r="Y70" s="433"/>
      <c r="Z70" s="121"/>
      <c r="AA70" s="122"/>
      <c r="AB70" s="122"/>
      <c r="AC70" s="122"/>
      <c r="AD70" s="122"/>
      <c r="AE70" s="123"/>
    </row>
    <row r="71" spans="1:31" s="116" customFormat="1" ht="192.75" customHeight="1">
      <c r="A71" s="126">
        <v>2</v>
      </c>
      <c r="B71" s="108" t="s">
        <v>708</v>
      </c>
      <c r="C71" s="354" t="s">
        <v>712</v>
      </c>
      <c r="D71" s="356"/>
      <c r="E71" s="478">
        <f>16000+620+I71+21</f>
        <v>17112</v>
      </c>
      <c r="F71" s="479"/>
      <c r="G71" s="121"/>
      <c r="H71" s="123"/>
      <c r="I71" s="427">
        <v>471</v>
      </c>
      <c r="J71" s="428"/>
      <c r="K71" s="429">
        <v>620</v>
      </c>
      <c r="L71" s="430"/>
      <c r="M71" s="427">
        <f t="shared" ref="M71:M73" si="72">SUM(O71:T71)</f>
        <v>691</v>
      </c>
      <c r="N71" s="428"/>
      <c r="O71" s="427"/>
      <c r="P71" s="428"/>
      <c r="Q71" s="134"/>
      <c r="R71" s="135"/>
      <c r="S71" s="354">
        <f>620+50+21</f>
        <v>691</v>
      </c>
      <c r="T71" s="356"/>
      <c r="U71" s="431"/>
      <c r="V71" s="432"/>
      <c r="W71" s="432"/>
      <c r="X71" s="432"/>
      <c r="Y71" s="433"/>
      <c r="Z71" s="121"/>
      <c r="AA71" s="122"/>
      <c r="AB71" s="122"/>
      <c r="AC71" s="122"/>
      <c r="AD71" s="122"/>
      <c r="AE71" s="123"/>
    </row>
    <row r="72" spans="1:31" s="116" customFormat="1" ht="198.75" customHeight="1">
      <c r="A72" s="126">
        <v>3</v>
      </c>
      <c r="B72" s="108" t="s">
        <v>709</v>
      </c>
      <c r="C72" s="354" t="s">
        <v>712</v>
      </c>
      <c r="D72" s="356"/>
      <c r="E72" s="478">
        <f>11600+920+24</f>
        <v>12544</v>
      </c>
      <c r="F72" s="479"/>
      <c r="G72" s="121"/>
      <c r="H72" s="123"/>
      <c r="I72" s="427">
        <v>0</v>
      </c>
      <c r="J72" s="428"/>
      <c r="K72" s="429">
        <v>920</v>
      </c>
      <c r="L72" s="430"/>
      <c r="M72" s="427">
        <f t="shared" si="72"/>
        <v>920</v>
      </c>
      <c r="N72" s="428"/>
      <c r="O72" s="427"/>
      <c r="P72" s="428"/>
      <c r="Q72" s="134"/>
      <c r="R72" s="135"/>
      <c r="S72" s="354">
        <f>-'ІІІ. Рух грош. коштів'!F115</f>
        <v>920</v>
      </c>
      <c r="T72" s="356"/>
      <c r="U72" s="431"/>
      <c r="V72" s="432"/>
      <c r="W72" s="432"/>
      <c r="X72" s="432"/>
      <c r="Y72" s="433"/>
      <c r="Z72" s="121"/>
      <c r="AA72" s="122"/>
      <c r="AB72" s="122"/>
      <c r="AC72" s="122"/>
      <c r="AD72" s="122"/>
      <c r="AE72" s="123"/>
    </row>
    <row r="73" spans="1:31" s="116" customFormat="1" ht="180" customHeight="1">
      <c r="A73" s="126">
        <v>4</v>
      </c>
      <c r="B73" s="108" t="s">
        <v>710</v>
      </c>
      <c r="C73" s="354" t="s">
        <v>712</v>
      </c>
      <c r="D73" s="356"/>
      <c r="E73" s="478">
        <f>16000+620+I73+30</f>
        <v>17004</v>
      </c>
      <c r="F73" s="479"/>
      <c r="G73" s="429"/>
      <c r="H73" s="430"/>
      <c r="I73" s="429">
        <v>354</v>
      </c>
      <c r="J73" s="430"/>
      <c r="K73" s="429">
        <v>620</v>
      </c>
      <c r="L73" s="430"/>
      <c r="M73" s="427">
        <f t="shared" si="72"/>
        <v>670</v>
      </c>
      <c r="N73" s="428"/>
      <c r="O73" s="429"/>
      <c r="P73" s="430"/>
      <c r="Q73" s="311"/>
      <c r="R73" s="312"/>
      <c r="S73" s="354">
        <v>670</v>
      </c>
      <c r="T73" s="356"/>
      <c r="U73" s="431"/>
      <c r="V73" s="432"/>
      <c r="W73" s="432"/>
      <c r="X73" s="432"/>
      <c r="Y73" s="433"/>
      <c r="Z73" s="121"/>
      <c r="AA73" s="122"/>
      <c r="AB73" s="122"/>
      <c r="AC73" s="122"/>
      <c r="AD73" s="122"/>
      <c r="AE73" s="123"/>
    </row>
    <row r="74" spans="1:31" s="42" customFormat="1" ht="24.75" customHeight="1">
      <c r="A74" s="363" t="s">
        <v>54</v>
      </c>
      <c r="B74" s="364"/>
      <c r="C74" s="364"/>
      <c r="D74" s="365"/>
      <c r="E74" s="480">
        <f>SUM(E70:E73)</f>
        <v>90875</v>
      </c>
      <c r="F74" s="481"/>
      <c r="G74" s="480">
        <f>SUM(G70:G70)</f>
        <v>0</v>
      </c>
      <c r="H74" s="481"/>
      <c r="I74" s="480">
        <f>SUM(I70:J73)</f>
        <v>853</v>
      </c>
      <c r="J74" s="481"/>
      <c r="K74" s="480">
        <f>SUM(K70:L73)</f>
        <v>3747</v>
      </c>
      <c r="L74" s="481"/>
      <c r="M74" s="480">
        <f>SUM(M70:N73)</f>
        <v>3868</v>
      </c>
      <c r="N74" s="481"/>
      <c r="O74" s="480">
        <f>SUM(O70:P73)</f>
        <v>0</v>
      </c>
      <c r="P74" s="481"/>
      <c r="Q74" s="480">
        <f t="shared" ref="Q74" si="73">SUM(Q70:R73)</f>
        <v>0</v>
      </c>
      <c r="R74" s="481"/>
      <c r="S74" s="480">
        <f>SUM(S70:T73)</f>
        <v>3868</v>
      </c>
      <c r="T74" s="481"/>
      <c r="U74" s="485"/>
      <c r="V74" s="485"/>
      <c r="W74" s="485"/>
      <c r="X74" s="485"/>
      <c r="Y74" s="485"/>
      <c r="Z74" s="556"/>
      <c r="AA74" s="556"/>
      <c r="AB74" s="556"/>
      <c r="AC74" s="556"/>
      <c r="AD74" s="556"/>
      <c r="AE74" s="556"/>
    </row>
    <row r="75" spans="1:31" s="42" customFormat="1" ht="54.75" customHeight="1">
      <c r="A75" s="89"/>
      <c r="B75" s="4"/>
      <c r="C75" s="308"/>
      <c r="D75" s="308"/>
      <c r="E75" s="308"/>
      <c r="F75" s="308"/>
      <c r="G75" s="244"/>
      <c r="H75" s="244"/>
      <c r="I75" s="244"/>
      <c r="J75" s="244"/>
      <c r="K75" s="244"/>
      <c r="L75" s="244"/>
      <c r="M75" s="244"/>
      <c r="N75" s="244"/>
      <c r="O75" s="244"/>
      <c r="P75" s="244"/>
      <c r="Q75" s="244"/>
      <c r="R75" s="244"/>
      <c r="S75" s="244"/>
      <c r="T75" s="244"/>
      <c r="U75" s="244"/>
      <c r="V75" s="81"/>
      <c r="W75" s="81"/>
      <c r="X75" s="81"/>
      <c r="Y75" s="81"/>
      <c r="Z75" s="81"/>
      <c r="AA75" s="81"/>
      <c r="AB75" s="81"/>
      <c r="AC75" s="81"/>
      <c r="AD75" s="81"/>
      <c r="AE75" s="81"/>
    </row>
    <row r="76" spans="1:31" s="42" customFormat="1" ht="17.25" customHeight="1">
      <c r="A76" s="89"/>
      <c r="B76" s="4"/>
      <c r="C76" s="308"/>
      <c r="D76" s="308"/>
      <c r="E76" s="308"/>
      <c r="F76" s="308"/>
      <c r="G76" s="244"/>
      <c r="H76" s="244"/>
      <c r="I76" s="244"/>
      <c r="J76" s="244"/>
      <c r="K76" s="244"/>
      <c r="L76" s="244"/>
      <c r="M76" s="244"/>
      <c r="N76" s="244"/>
      <c r="O76" s="244"/>
      <c r="P76" s="244"/>
      <c r="Q76" s="244"/>
      <c r="R76" s="244"/>
      <c r="S76" s="244"/>
      <c r="T76" s="244"/>
      <c r="U76" s="244"/>
      <c r="V76" s="81"/>
      <c r="W76" s="81"/>
      <c r="X76" s="81"/>
      <c r="Y76" s="81"/>
      <c r="Z76" s="81"/>
      <c r="AA76" s="81"/>
      <c r="AB76" s="81"/>
      <c r="AC76" s="81"/>
      <c r="AD76" s="81"/>
      <c r="AE76" s="81"/>
    </row>
    <row r="77" spans="1:31" s="42" customFormat="1" ht="9.75" customHeight="1">
      <c r="A77" s="116"/>
      <c r="B77" s="81"/>
      <c r="C77" s="4"/>
      <c r="D77" s="4"/>
      <c r="E77" s="4"/>
      <c r="F77" s="4"/>
      <c r="G77" s="17"/>
      <c r="H77" s="17"/>
      <c r="I77" s="17"/>
      <c r="J77" s="17"/>
      <c r="K77" s="17"/>
      <c r="L77" s="116"/>
      <c r="M77" s="116"/>
      <c r="N77" s="116"/>
      <c r="O77" s="116"/>
      <c r="P77" s="116"/>
      <c r="Q77" s="116"/>
      <c r="R77" s="116"/>
      <c r="S77" s="116"/>
      <c r="T77" s="116"/>
      <c r="U77" s="116"/>
      <c r="V77" s="116"/>
      <c r="W77" s="116"/>
      <c r="X77" s="116"/>
      <c r="Y77" s="116"/>
      <c r="Z77" s="116"/>
      <c r="AA77" s="116"/>
      <c r="AB77" s="116"/>
      <c r="AC77" s="116"/>
      <c r="AD77" s="116"/>
      <c r="AE77" s="116"/>
    </row>
    <row r="78" spans="1:31" s="42" customFormat="1" ht="33.75" customHeight="1">
      <c r="A78" s="15"/>
      <c r="B78" s="476" t="str">
        <f>'Осн. фін. пок.'!A144</f>
        <v>Т.в.о. директора</v>
      </c>
      <c r="C78" s="476"/>
      <c r="D78" s="476"/>
      <c r="E78" s="476"/>
      <c r="F78" s="476"/>
      <c r="G78" s="313"/>
      <c r="H78" s="313"/>
      <c r="I78" s="313"/>
      <c r="J78" s="313"/>
      <c r="K78" s="313"/>
      <c r="L78" s="477" t="s">
        <v>200</v>
      </c>
      <c r="M78" s="477"/>
      <c r="N78" s="477"/>
      <c r="O78" s="477"/>
      <c r="P78" s="477"/>
      <c r="Q78" s="314"/>
      <c r="R78" s="314"/>
      <c r="S78" s="314"/>
      <c r="T78" s="314"/>
      <c r="U78" s="314"/>
      <c r="V78" s="486" t="str">
        <f>'Осн. фін. пок.'!H144</f>
        <v>Р.М. Мікрух</v>
      </c>
      <c r="W78" s="486"/>
      <c r="X78" s="486"/>
      <c r="Y78" s="486"/>
      <c r="Z78" s="486"/>
      <c r="AA78" s="15"/>
      <c r="AB78" s="15"/>
      <c r="AC78" s="15"/>
      <c r="AD78" s="15"/>
      <c r="AE78" s="15"/>
    </row>
    <row r="79" spans="1:31" s="42" customFormat="1" ht="15.75" customHeight="1">
      <c r="A79" s="116"/>
      <c r="B79" s="315"/>
      <c r="C79" s="81"/>
      <c r="D79" s="81"/>
      <c r="E79" s="316"/>
      <c r="F79" s="316"/>
      <c r="G79" s="20"/>
      <c r="H79" s="20"/>
      <c r="I79" s="20"/>
      <c r="J79" s="20"/>
      <c r="K79" s="20"/>
      <c r="L79" s="116"/>
      <c r="M79" s="317"/>
      <c r="N79" s="71" t="s">
        <v>81</v>
      </c>
      <c r="O79" s="317"/>
      <c r="P79" s="116"/>
      <c r="Q79" s="20"/>
      <c r="R79" s="20"/>
      <c r="S79" s="20"/>
      <c r="T79" s="116"/>
      <c r="U79" s="116"/>
      <c r="V79" s="335"/>
      <c r="W79" s="335"/>
      <c r="X79" s="335"/>
      <c r="Y79" s="335"/>
      <c r="Z79" s="335"/>
      <c r="AA79" s="116"/>
      <c r="AB79" s="116"/>
      <c r="AC79" s="116"/>
      <c r="AD79" s="116"/>
      <c r="AE79" s="116"/>
    </row>
    <row r="80" spans="1:31" s="42" customFormat="1" ht="20.100000000000001" customHeight="1">
      <c r="A80" s="81"/>
      <c r="B80" s="318"/>
      <c r="C80" s="318"/>
      <c r="D80" s="318"/>
      <c r="E80" s="318"/>
      <c r="F80" s="318"/>
      <c r="G80" s="318"/>
      <c r="H80" s="319"/>
      <c r="I80" s="319"/>
      <c r="J80" s="319"/>
      <c r="K80" s="319"/>
      <c r="L80" s="319"/>
      <c r="M80" s="319"/>
      <c r="N80" s="319"/>
      <c r="O80" s="319"/>
      <c r="P80" s="319"/>
      <c r="Q80" s="319"/>
      <c r="R80" s="319"/>
      <c r="S80" s="319"/>
      <c r="T80" s="318"/>
      <c r="U80" s="318"/>
      <c r="V80" s="81"/>
      <c r="W80" s="81"/>
      <c r="X80" s="81"/>
      <c r="Y80" s="81"/>
      <c r="Z80" s="81"/>
      <c r="AA80" s="81"/>
      <c r="AB80" s="81"/>
      <c r="AC80" s="81"/>
      <c r="AD80" s="81"/>
      <c r="AE80" s="81"/>
    </row>
    <row r="81" spans="1:31" ht="20.100000000000001" hidden="1" customHeight="1" outlineLevel="1">
      <c r="B81" s="322" t="s">
        <v>830</v>
      </c>
      <c r="C81" s="318"/>
      <c r="D81" s="318"/>
      <c r="E81" s="318"/>
      <c r="F81" s="318"/>
      <c r="G81" s="318"/>
      <c r="H81" s="318"/>
      <c r="I81" s="318"/>
      <c r="J81" s="318"/>
      <c r="K81" s="318"/>
      <c r="L81" s="318"/>
      <c r="M81" s="318"/>
      <c r="N81" s="318"/>
      <c r="O81" s="318"/>
      <c r="P81" s="318"/>
      <c r="Q81" s="318"/>
      <c r="R81" s="318"/>
      <c r="S81" s="318"/>
      <c r="T81" s="318"/>
      <c r="U81" s="318"/>
    </row>
    <row r="82" spans="1:31" ht="20.100000000000001" hidden="1" customHeight="1" outlineLevel="1">
      <c r="B82" s="318"/>
      <c r="C82" s="318"/>
      <c r="D82" s="318"/>
      <c r="E82" s="318"/>
      <c r="F82" s="318"/>
      <c r="G82" s="318"/>
      <c r="H82" s="318"/>
      <c r="I82" s="318"/>
      <c r="J82" s="318"/>
      <c r="K82" s="318"/>
      <c r="L82" s="318"/>
      <c r="M82" s="318"/>
      <c r="N82" s="318"/>
      <c r="O82" s="318"/>
      <c r="P82" s="318"/>
      <c r="Q82" s="318"/>
      <c r="R82" s="318"/>
      <c r="S82" s="318"/>
      <c r="T82" s="318"/>
      <c r="U82" s="318"/>
    </row>
    <row r="83" spans="1:31" s="116" customFormat="1" ht="20.100000000000001" hidden="1" customHeight="1" outlineLevel="1">
      <c r="A83" s="81"/>
      <c r="B83" s="81" t="s">
        <v>831</v>
      </c>
      <c r="C83" s="81"/>
      <c r="D83" s="81"/>
      <c r="E83" s="81"/>
      <c r="F83" s="81"/>
      <c r="H83" s="81"/>
      <c r="I83" s="81" t="s">
        <v>832</v>
      </c>
      <c r="J83" s="81"/>
      <c r="K83" s="81"/>
      <c r="L83" s="81"/>
      <c r="M83" s="81"/>
      <c r="N83" s="81"/>
      <c r="O83" s="81"/>
      <c r="P83" s="81"/>
      <c r="Q83" s="81"/>
      <c r="R83" s="81"/>
      <c r="S83" s="81"/>
      <c r="T83" s="81"/>
      <c r="U83" s="81"/>
      <c r="V83" s="81"/>
      <c r="W83" s="81"/>
      <c r="X83" s="81"/>
      <c r="Y83" s="81"/>
      <c r="Z83" s="81"/>
      <c r="AA83" s="81"/>
      <c r="AB83" s="81"/>
      <c r="AC83" s="81"/>
      <c r="AD83" s="81"/>
      <c r="AE83" s="81"/>
    </row>
    <row r="84" spans="1:31" s="15" customFormat="1" ht="20.100000000000001" hidden="1" customHeight="1" outlineLevel="1">
      <c r="A84" s="81"/>
      <c r="B84" s="81"/>
      <c r="C84" s="81"/>
      <c r="D84" s="81"/>
      <c r="E84" s="81"/>
      <c r="F84" s="81"/>
      <c r="H84" s="81"/>
      <c r="I84" s="81"/>
      <c r="J84" s="81"/>
      <c r="K84" s="81"/>
      <c r="L84" s="81"/>
      <c r="M84" s="81"/>
      <c r="N84" s="81"/>
      <c r="O84" s="81"/>
      <c r="P84" s="81"/>
      <c r="Q84" s="81"/>
      <c r="R84" s="81"/>
      <c r="S84" s="81"/>
      <c r="T84" s="81"/>
      <c r="U84" s="81"/>
      <c r="V84" s="81"/>
      <c r="W84" s="81"/>
      <c r="X84" s="81"/>
      <c r="Y84" s="81"/>
      <c r="Z84" s="81"/>
      <c r="AA84" s="81"/>
      <c r="AB84" s="81"/>
      <c r="AC84" s="81"/>
      <c r="AD84" s="81"/>
      <c r="AE84" s="81"/>
    </row>
    <row r="85" spans="1:31" s="116" customFormat="1" ht="19.5" hidden="1" customHeight="1" outlineLevel="1">
      <c r="A85" s="81"/>
      <c r="B85" s="81"/>
      <c r="C85" s="81"/>
      <c r="D85" s="81"/>
      <c r="E85" s="81"/>
      <c r="F85" s="81"/>
      <c r="H85" s="81"/>
      <c r="I85" s="81"/>
      <c r="J85" s="81"/>
      <c r="K85" s="81"/>
      <c r="L85" s="81"/>
      <c r="M85" s="81"/>
      <c r="N85" s="81"/>
      <c r="O85" s="81"/>
      <c r="P85" s="81"/>
      <c r="Q85" s="81"/>
      <c r="R85" s="81"/>
      <c r="S85" s="81"/>
      <c r="T85" s="81"/>
      <c r="U85" s="81"/>
      <c r="V85" s="81"/>
      <c r="W85" s="81"/>
      <c r="X85" s="81"/>
      <c r="Y85" s="81"/>
      <c r="Z85" s="81"/>
      <c r="AA85" s="81"/>
      <c r="AB85" s="81"/>
      <c r="AC85" s="81"/>
      <c r="AD85" s="81"/>
      <c r="AE85" s="81"/>
    </row>
    <row r="86" spans="1:31" ht="20.100000000000001" hidden="1" customHeight="1" outlineLevel="1">
      <c r="B86" s="81" t="s">
        <v>833</v>
      </c>
      <c r="I86" s="81" t="s">
        <v>834</v>
      </c>
    </row>
    <row r="87" spans="1:31" ht="20.100000000000001" hidden="1" customHeight="1" outlineLevel="1">
      <c r="B87" s="320"/>
    </row>
    <row r="88" spans="1:31" ht="19.5" hidden="1" outlineLevel="1">
      <c r="B88" s="320"/>
    </row>
    <row r="89" spans="1:31" hidden="1" outlineLevel="1">
      <c r="B89" s="81" t="s">
        <v>835</v>
      </c>
      <c r="I89" s="81" t="s">
        <v>836</v>
      </c>
    </row>
    <row r="90" spans="1:31" hidden="1" outlineLevel="1"/>
    <row r="91" spans="1:31" hidden="1" outlineLevel="1"/>
    <row r="92" spans="1:31" hidden="1" outlineLevel="1">
      <c r="B92" s="81" t="s">
        <v>837</v>
      </c>
      <c r="I92" s="81" t="s">
        <v>838</v>
      </c>
    </row>
    <row r="93" spans="1:31" hidden="1" outlineLevel="1"/>
    <row r="94" spans="1:31" hidden="1" outlineLevel="1"/>
    <row r="95" spans="1:31" hidden="1" outlineLevel="1">
      <c r="B95" s="8" t="s">
        <v>841</v>
      </c>
    </row>
    <row r="96" spans="1:31" hidden="1" outlineLevel="1"/>
    <row r="97" spans="2:9" hidden="1" outlineLevel="1">
      <c r="B97" s="81" t="s">
        <v>839</v>
      </c>
      <c r="I97" s="81" t="s">
        <v>840</v>
      </c>
    </row>
    <row r="98" spans="2:9" collapsed="1"/>
  </sheetData>
  <mergeCells count="234">
    <mergeCell ref="N17:P17"/>
    <mergeCell ref="Z17:AB17"/>
    <mergeCell ref="W17:Y17"/>
    <mergeCell ref="C73:D73"/>
    <mergeCell ref="E73:F73"/>
    <mergeCell ref="G73:H73"/>
    <mergeCell ref="Z21:AB21"/>
    <mergeCell ref="Z14:AB16"/>
    <mergeCell ref="C21:F21"/>
    <mergeCell ref="N21:P21"/>
    <mergeCell ref="B28:F28"/>
    <mergeCell ref="C18:F18"/>
    <mergeCell ref="G21:M21"/>
    <mergeCell ref="N19:P19"/>
    <mergeCell ref="B29:F29"/>
    <mergeCell ref="M26:P26"/>
    <mergeCell ref="N22:P22"/>
    <mergeCell ref="A22:M22"/>
    <mergeCell ref="A25:A27"/>
    <mergeCell ref="B25:F27"/>
    <mergeCell ref="L26:L27"/>
    <mergeCell ref="H26:K26"/>
    <mergeCell ref="G25:K25"/>
    <mergeCell ref="G26:G27"/>
    <mergeCell ref="Z74:AE74"/>
    <mergeCell ref="W20:Y20"/>
    <mergeCell ref="T20:V20"/>
    <mergeCell ref="AC18:AE18"/>
    <mergeCell ref="AC19:AE19"/>
    <mergeCell ref="AC20:AE20"/>
    <mergeCell ref="Q26:Q27"/>
    <mergeCell ref="V26:V27"/>
    <mergeCell ref="AC22:AE22"/>
    <mergeCell ref="Q21:S21"/>
    <mergeCell ref="Q20:S20"/>
    <mergeCell ref="W21:Y21"/>
    <mergeCell ref="W26:Z26"/>
    <mergeCell ref="W22:Y22"/>
    <mergeCell ref="T22:V22"/>
    <mergeCell ref="R26:U26"/>
    <mergeCell ref="T21:V21"/>
    <mergeCell ref="U71:Y71"/>
    <mergeCell ref="S73:T73"/>
    <mergeCell ref="AC14:AE16"/>
    <mergeCell ref="AC21:AE21"/>
    <mergeCell ref="Z9:AB9"/>
    <mergeCell ref="AC10:AE10"/>
    <mergeCell ref="V10:Y10"/>
    <mergeCell ref="Z10:AB10"/>
    <mergeCell ref="AB26:AE26"/>
    <mergeCell ref="Z66:AE68"/>
    <mergeCell ref="A10:M10"/>
    <mergeCell ref="AA25:AE25"/>
    <mergeCell ref="Z22:AB22"/>
    <mergeCell ref="A66:A68"/>
    <mergeCell ref="T15:V16"/>
    <mergeCell ref="A14:A16"/>
    <mergeCell ref="B14:B16"/>
    <mergeCell ref="C19:F19"/>
    <mergeCell ref="C17:F17"/>
    <mergeCell ref="B38:F38"/>
    <mergeCell ref="S68:T68"/>
    <mergeCell ref="R9:U9"/>
    <mergeCell ref="W15:Y16"/>
    <mergeCell ref="AC17:AE17"/>
    <mergeCell ref="AC9:AE9"/>
    <mergeCell ref="Q17:S17"/>
    <mergeCell ref="N7:Q7"/>
    <mergeCell ref="AA26:AA27"/>
    <mergeCell ref="V7:Y7"/>
    <mergeCell ref="V25:Z25"/>
    <mergeCell ref="Q25:U25"/>
    <mergeCell ref="G14:M16"/>
    <mergeCell ref="N9:Q9"/>
    <mergeCell ref="G9:M9"/>
    <mergeCell ref="C9:F9"/>
    <mergeCell ref="C14:F16"/>
    <mergeCell ref="Q22:S22"/>
    <mergeCell ref="T19:V19"/>
    <mergeCell ref="G19:M19"/>
    <mergeCell ref="N20:P20"/>
    <mergeCell ref="G20:M20"/>
    <mergeCell ref="T17:V17"/>
    <mergeCell ref="T18:V18"/>
    <mergeCell ref="Z20:AB20"/>
    <mergeCell ref="Z18:AB18"/>
    <mergeCell ref="Z19:AB19"/>
    <mergeCell ref="W18:Y18"/>
    <mergeCell ref="Q19:S19"/>
    <mergeCell ref="G18:M18"/>
    <mergeCell ref="C20:F20"/>
    <mergeCell ref="R10:U10"/>
    <mergeCell ref="V9:Y9"/>
    <mergeCell ref="Q14:Y14"/>
    <mergeCell ref="W19:Y19"/>
    <mergeCell ref="O67:T67"/>
    <mergeCell ref="AC3:AE4"/>
    <mergeCell ref="Z5:AB5"/>
    <mergeCell ref="Z3:AB4"/>
    <mergeCell ref="AC8:AE8"/>
    <mergeCell ref="R4:U4"/>
    <mergeCell ref="V6:Y6"/>
    <mergeCell ref="AC5:AE5"/>
    <mergeCell ref="AC7:AE7"/>
    <mergeCell ref="Z7:AB7"/>
    <mergeCell ref="Z8:AB8"/>
    <mergeCell ref="Z6:AB6"/>
    <mergeCell ref="AC6:AE6"/>
    <mergeCell ref="L25:P25"/>
    <mergeCell ref="G17:M17"/>
    <mergeCell ref="N14:P16"/>
    <mergeCell ref="N10:Q10"/>
    <mergeCell ref="Q15:S16"/>
    <mergeCell ref="Q18:S18"/>
    <mergeCell ref="N18:P18"/>
    <mergeCell ref="A3:A4"/>
    <mergeCell ref="B3:B4"/>
    <mergeCell ref="C3:F4"/>
    <mergeCell ref="N8:Q8"/>
    <mergeCell ref="G7:M7"/>
    <mergeCell ref="C5:F5"/>
    <mergeCell ref="C6:F6"/>
    <mergeCell ref="C7:F7"/>
    <mergeCell ref="C8:F8"/>
    <mergeCell ref="G8:M8"/>
    <mergeCell ref="G3:M4"/>
    <mergeCell ref="G5:M5"/>
    <mergeCell ref="N3:Y3"/>
    <mergeCell ref="N4:Q4"/>
    <mergeCell ref="N5:Q5"/>
    <mergeCell ref="V4:Y4"/>
    <mergeCell ref="V5:Y5"/>
    <mergeCell ref="R5:U5"/>
    <mergeCell ref="G6:M6"/>
    <mergeCell ref="R6:U6"/>
    <mergeCell ref="N6:Q6"/>
    <mergeCell ref="V8:Y8"/>
    <mergeCell ref="R8:U8"/>
    <mergeCell ref="R7:U7"/>
    <mergeCell ref="V79:Z79"/>
    <mergeCell ref="G66:H68"/>
    <mergeCell ref="K67:L68"/>
    <mergeCell ref="G69:H69"/>
    <mergeCell ref="M69:N69"/>
    <mergeCell ref="I69:J69"/>
    <mergeCell ref="K69:L69"/>
    <mergeCell ref="Z69:AE69"/>
    <mergeCell ref="K66:T66"/>
    <mergeCell ref="M67:N68"/>
    <mergeCell ref="I66:J68"/>
    <mergeCell ref="Q68:R68"/>
    <mergeCell ref="U66:Y68"/>
    <mergeCell ref="U69:Y69"/>
    <mergeCell ref="S74:T74"/>
    <mergeCell ref="U74:Y74"/>
    <mergeCell ref="I74:J74"/>
    <mergeCell ref="M74:N74"/>
    <mergeCell ref="V78:Z78"/>
    <mergeCell ref="G74:H74"/>
    <mergeCell ref="U70:Y70"/>
    <mergeCell ref="O68:P68"/>
    <mergeCell ref="S69:T69"/>
    <mergeCell ref="U73:Y73"/>
    <mergeCell ref="B78:F78"/>
    <mergeCell ref="L78:P78"/>
    <mergeCell ref="E70:F70"/>
    <mergeCell ref="O74:P74"/>
    <mergeCell ref="Q74:R74"/>
    <mergeCell ref="K74:L74"/>
    <mergeCell ref="I70:J70"/>
    <mergeCell ref="A74:D74"/>
    <mergeCell ref="E74:F74"/>
    <mergeCell ref="I73:J73"/>
    <mergeCell ref="K73:L73"/>
    <mergeCell ref="M73:N73"/>
    <mergeCell ref="O73:P73"/>
    <mergeCell ref="C71:D71"/>
    <mergeCell ref="E71:F71"/>
    <mergeCell ref="I71:J71"/>
    <mergeCell ref="K71:L71"/>
    <mergeCell ref="M71:N71"/>
    <mergeCell ref="O71:P71"/>
    <mergeCell ref="C72:D72"/>
    <mergeCell ref="E72:F72"/>
    <mergeCell ref="K70:L70"/>
    <mergeCell ref="M70:N70"/>
    <mergeCell ref="O70:P70"/>
    <mergeCell ref="C70:D70"/>
    <mergeCell ref="E66:F68"/>
    <mergeCell ref="C69:D69"/>
    <mergeCell ref="B66:B68"/>
    <mergeCell ref="C66:D68"/>
    <mergeCell ref="B57:F57"/>
    <mergeCell ref="B58:F58"/>
    <mergeCell ref="B56:F56"/>
    <mergeCell ref="B59:F59"/>
    <mergeCell ref="B55:F55"/>
    <mergeCell ref="E69:F69"/>
    <mergeCell ref="O69:P69"/>
    <mergeCell ref="Q69:R69"/>
    <mergeCell ref="B34:F34"/>
    <mergeCell ref="B35:F35"/>
    <mergeCell ref="B42:F42"/>
    <mergeCell ref="B43:F43"/>
    <mergeCell ref="B51:F51"/>
    <mergeCell ref="B52:F52"/>
    <mergeCell ref="B53:F53"/>
    <mergeCell ref="B37:F37"/>
    <mergeCell ref="B36:F36"/>
    <mergeCell ref="A61:F61"/>
    <mergeCell ref="I72:J72"/>
    <mergeCell ref="K72:L72"/>
    <mergeCell ref="M72:N72"/>
    <mergeCell ref="O72:P72"/>
    <mergeCell ref="U72:Y72"/>
    <mergeCell ref="S70:T70"/>
    <mergeCell ref="S71:T71"/>
    <mergeCell ref="S72:T72"/>
    <mergeCell ref="B30:F30"/>
    <mergeCell ref="B48:F48"/>
    <mergeCell ref="B49:F49"/>
    <mergeCell ref="B46:F46"/>
    <mergeCell ref="B47:F47"/>
    <mergeCell ref="B50:F50"/>
    <mergeCell ref="B44:F44"/>
    <mergeCell ref="B39:F39"/>
    <mergeCell ref="B40:F40"/>
    <mergeCell ref="B45:F45"/>
    <mergeCell ref="B33:F33"/>
    <mergeCell ref="B41:F41"/>
    <mergeCell ref="B31:F31"/>
    <mergeCell ref="B32:F32"/>
    <mergeCell ref="B54:F54"/>
    <mergeCell ref="A60:F60"/>
  </mergeCells>
  <phoneticPr fontId="7" type="noConversion"/>
  <pageMargins left="0.25" right="0.25" top="0.75" bottom="0.75" header="0.3" footer="0.3"/>
  <pageSetup paperSize="9" scale="39" fitToHeight="0" orientation="landscape" r:id="rId1"/>
  <headerFooter alignWithMargins="0">
    <oddHeader xml:space="preserve">&amp;C&amp;"Times New Roman,обычный"&amp;14
 15&amp;R
&amp;"Times New Roman,обычный"&amp;14Продовження додатка 1
Таблиця 6
</oddHeader>
  </headerFooter>
  <ignoredErrors>
    <ignoredError sqref="N10 R10:Y10 Q22 T22 W22" formulaRange="1"/>
    <ignoredError sqref="AA61:AC61 G61:P61 Z6:AE10 Z18:AE22 R61:Z61 AE6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13</vt:i4>
      </vt:variant>
    </vt:vector>
  </HeadingPairs>
  <TitlesOfParts>
    <vt:vector size="22" baseType="lpstr">
      <vt:lpstr>Титул</vt:lpstr>
      <vt:lpstr>Осн. фін. пок.</vt:lpstr>
      <vt:lpstr>I. Фін результат</vt:lpstr>
      <vt:lpstr>ІІ. Розр. з бюджетом</vt:lpstr>
      <vt:lpstr>ІІІ. Рух грош. коштів</vt:lpstr>
      <vt:lpstr>IV. Кап. інвестиції</vt:lpstr>
      <vt:lpstr> V. Коефіцієнти</vt:lpstr>
      <vt:lpstr>6.1. Інша інфо_1</vt:lpstr>
      <vt:lpstr>6.2. Інша інфо_2</vt:lpstr>
      <vt:lpstr>' V. Коефіцієнти'!Заголовки_для_друку</vt:lpstr>
      <vt:lpstr>'I. Фін результат'!Заголовки_для_друку</vt:lpstr>
      <vt:lpstr>'ІІ. Розр. з бюджетом'!Заголовки_для_друку</vt:lpstr>
      <vt:lpstr>'ІІІ. Рух грош. коштів'!Заголовки_для_друку</vt:lpstr>
      <vt:lpstr>'Осн. фін. пок.'!Заголовки_для_друку</vt:lpstr>
      <vt:lpstr>' V. Коефіцієнти'!Область_друку</vt:lpstr>
      <vt:lpstr>'6.1. Інша інфо_1'!Область_друку</vt:lpstr>
      <vt:lpstr>'6.2. Інша інфо_2'!Область_друку</vt:lpstr>
      <vt:lpstr>'I. Фін результат'!Область_друку</vt:lpstr>
      <vt:lpstr>'IV. Кап. інвестиції'!Область_друку</vt:lpstr>
      <vt:lpstr>'ІІ. Розр. з бюджетом'!Область_друку</vt:lpstr>
      <vt:lpstr>'ІІІ. Рух грош. коштів'!Область_друку</vt:lpstr>
      <vt:lpstr>'Осн. фін. пок.'!Область_друку</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c:creator>
  <cp:lastModifiedBy>Картичак Василь</cp:lastModifiedBy>
  <cp:lastPrinted>2019-07-10T07:40:26Z</cp:lastPrinted>
  <dcterms:created xsi:type="dcterms:W3CDTF">2003-03-13T16:00:22Z</dcterms:created>
  <dcterms:modified xsi:type="dcterms:W3CDTF">2019-07-12T08:21:44Z</dcterms:modified>
</cp:coreProperties>
</file>